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isrey/Desktop/Analysis Projects/Crowdfunding Analysis/"/>
    </mc:Choice>
  </mc:AlternateContent>
  <xr:revisionPtr revIDLastSave="0" documentId="13_ncr:1_{95190BA9-3309-4048-A1F1-BBAB9C3BD975}" xr6:coauthVersionLast="45" xr6:coauthVersionMax="45" xr10:uidLastSave="{00000000-0000-0000-0000-000000000000}"/>
  <bookViews>
    <workbookView xWindow="520" yWindow="460" windowWidth="25600" windowHeight="15500" firstSheet="3" activeTab="6" xr2:uid="{00000000-000D-0000-FFFF-FFFF00000000}"/>
  </bookViews>
  <sheets>
    <sheet name="Kickstarter" sheetId="1" r:id="rId1"/>
    <sheet name="Category" sheetId="10" r:id="rId2"/>
    <sheet name="Subcategory" sheetId="16" r:id="rId3"/>
    <sheet name="Outcome Based on Month Launched" sheetId="9" r:id="rId4"/>
    <sheet name="Edinburgh Research" sheetId="20" r:id="rId5"/>
    <sheet name="Outcome Based on Goals" sheetId="21" r:id="rId6"/>
    <sheet name="Outcome by Campaign Duration" sheetId="24" r:id="rId7"/>
    <sheet name="Charts" sheetId="6" r:id="rId8"/>
  </sheets>
  <externalReferences>
    <externalReference r:id="rId9"/>
  </externalReferences>
  <definedNames>
    <definedName name="_xlnm._FilterDatabase" localSheetId="0" hidden="1">Kickstarter!$A$1:$O$4115</definedName>
  </definedNames>
  <calcPr calcId="191029"/>
  <pivotCaches>
    <pivotCache cacheId="18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9" i="24" l="1"/>
  <c r="F9" i="24"/>
  <c r="L9" i="24" s="1"/>
  <c r="E9" i="24"/>
  <c r="D9" i="24"/>
  <c r="C9" i="24"/>
  <c r="K9" i="24" s="1"/>
  <c r="B9" i="24"/>
  <c r="H9" i="24" s="1"/>
  <c r="L8" i="24"/>
  <c r="I8" i="24"/>
  <c r="F8" i="24"/>
  <c r="E8" i="24"/>
  <c r="D8" i="24"/>
  <c r="H8" i="24" s="1"/>
  <c r="C8" i="24"/>
  <c r="K8" i="24" s="1"/>
  <c r="B8" i="24"/>
  <c r="G8" i="24" s="1"/>
  <c r="L7" i="24"/>
  <c r="I7" i="24"/>
  <c r="F7" i="24"/>
  <c r="E7" i="24"/>
  <c r="D7" i="24"/>
  <c r="C7" i="24"/>
  <c r="H7" i="24" s="1"/>
  <c r="B7" i="24"/>
  <c r="J7" i="24" s="1"/>
  <c r="I6" i="24"/>
  <c r="F6" i="24"/>
  <c r="L6" i="24" s="1"/>
  <c r="E6" i="24"/>
  <c r="D6" i="24"/>
  <c r="C6" i="24"/>
  <c r="K6" i="24" s="1"/>
  <c r="B6" i="24"/>
  <c r="H6" i="24" s="1"/>
  <c r="I5" i="24"/>
  <c r="F5" i="24"/>
  <c r="L5" i="24" s="1"/>
  <c r="E5" i="24"/>
  <c r="D5" i="24"/>
  <c r="C5" i="24"/>
  <c r="K5" i="24" s="1"/>
  <c r="B5" i="24"/>
  <c r="H5" i="24" s="1"/>
  <c r="L4" i="24"/>
  <c r="I4" i="24"/>
  <c r="F4" i="24"/>
  <c r="E4" i="24"/>
  <c r="D4" i="24"/>
  <c r="H4" i="24" s="1"/>
  <c r="C4" i="24"/>
  <c r="K4" i="24" s="1"/>
  <c r="B4" i="24"/>
  <c r="G4" i="24" s="1"/>
  <c r="L3" i="24"/>
  <c r="I3" i="24"/>
  <c r="F3" i="24"/>
  <c r="E3" i="24"/>
  <c r="D3" i="24"/>
  <c r="C3" i="24"/>
  <c r="K3" i="24" s="1"/>
  <c r="B3" i="24"/>
  <c r="J3" i="24" s="1"/>
  <c r="I2" i="24"/>
  <c r="F2" i="24"/>
  <c r="L2" i="24" s="1"/>
  <c r="E2" i="24"/>
  <c r="D2" i="24"/>
  <c r="C2" i="24"/>
  <c r="K2" i="24" s="1"/>
  <c r="B2" i="24"/>
  <c r="H2" i="24" s="1"/>
  <c r="L3" i="21"/>
  <c r="L4" i="21"/>
  <c r="L5" i="21"/>
  <c r="L6" i="21"/>
  <c r="L7" i="21"/>
  <c r="L8" i="21"/>
  <c r="L9" i="21"/>
  <c r="L10" i="21"/>
  <c r="L11" i="21"/>
  <c r="L12" i="21"/>
  <c r="L13" i="21"/>
  <c r="L2" i="21"/>
  <c r="K3" i="21"/>
  <c r="K4" i="21"/>
  <c r="K5" i="21"/>
  <c r="K6" i="21"/>
  <c r="K7" i="21"/>
  <c r="K8" i="21"/>
  <c r="K9" i="21"/>
  <c r="K10" i="21"/>
  <c r="K11" i="21"/>
  <c r="K12" i="21"/>
  <c r="K13" i="21"/>
  <c r="K2" i="21"/>
  <c r="J3" i="21"/>
  <c r="J4" i="21"/>
  <c r="J5" i="21"/>
  <c r="J6" i="21"/>
  <c r="J7" i="21"/>
  <c r="J8" i="21"/>
  <c r="J9" i="21"/>
  <c r="J10" i="21"/>
  <c r="J11" i="21"/>
  <c r="J12" i="21"/>
  <c r="J13" i="21"/>
  <c r="J2" i="21"/>
  <c r="I4" i="21"/>
  <c r="I5" i="21"/>
  <c r="I6" i="21"/>
  <c r="I7" i="21"/>
  <c r="I8" i="21"/>
  <c r="I9" i="21"/>
  <c r="I10" i="21"/>
  <c r="I11" i="21"/>
  <c r="I12" i="21"/>
  <c r="I13" i="21"/>
  <c r="I3" i="21"/>
  <c r="I2" i="21"/>
  <c r="F13" i="21"/>
  <c r="G13" i="21" s="1"/>
  <c r="F12" i="21"/>
  <c r="G12" i="21" s="1"/>
  <c r="F11" i="21"/>
  <c r="H11" i="21" s="1"/>
  <c r="F10" i="21"/>
  <c r="H10" i="21" s="1"/>
  <c r="F9" i="21"/>
  <c r="H9" i="21" s="1"/>
  <c r="F8" i="21"/>
  <c r="H8" i="21" s="1"/>
  <c r="F7" i="21"/>
  <c r="H7" i="21" s="1"/>
  <c r="F6" i="21"/>
  <c r="H6" i="21" s="1"/>
  <c r="F5" i="21"/>
  <c r="H5" i="21" s="1"/>
  <c r="F4" i="21"/>
  <c r="H4" i="21" s="1"/>
  <c r="F3" i="21"/>
  <c r="G3" i="21" s="1"/>
  <c r="F2" i="21"/>
  <c r="H2" i="21" s="1"/>
  <c r="E13" i="21"/>
  <c r="E12" i="21"/>
  <c r="E11" i="21"/>
  <c r="E10" i="21"/>
  <c r="E9" i="21"/>
  <c r="E8" i="21"/>
  <c r="E7" i="21"/>
  <c r="E6" i="21"/>
  <c r="E5" i="21"/>
  <c r="E4" i="21"/>
  <c r="E3" i="21"/>
  <c r="E2" i="21"/>
  <c r="C13" i="21"/>
  <c r="D13" i="21"/>
  <c r="D12" i="21"/>
  <c r="D11" i="21"/>
  <c r="D10" i="21"/>
  <c r="D9" i="21"/>
  <c r="D8" i="21"/>
  <c r="D7" i="21"/>
  <c r="D6" i="21"/>
  <c r="D5" i="21"/>
  <c r="D4" i="21"/>
  <c r="D3" i="21"/>
  <c r="D2" i="21"/>
  <c r="C2" i="2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C12" i="21"/>
  <c r="C11" i="21"/>
  <c r="C10" i="21"/>
  <c r="C9" i="21"/>
  <c r="C8" i="21"/>
  <c r="C7" i="21"/>
  <c r="C6" i="21"/>
  <c r="C5" i="21"/>
  <c r="C4" i="21"/>
  <c r="C3" i="21"/>
  <c r="B13" i="21"/>
  <c r="B12" i="21"/>
  <c r="B11" i="21"/>
  <c r="B10" i="21"/>
  <c r="B9" i="21"/>
  <c r="B8" i="21"/>
  <c r="B7" i="21"/>
  <c r="B6" i="21"/>
  <c r="B5" i="21"/>
  <c r="B4" i="21"/>
  <c r="B3" i="21"/>
  <c r="B2" i="2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3" i="24" l="1"/>
  <c r="G7" i="24"/>
  <c r="K7" i="24"/>
  <c r="G2" i="24"/>
  <c r="H3" i="24"/>
  <c r="J5" i="24"/>
  <c r="G6" i="24"/>
  <c r="J9" i="24"/>
  <c r="J2" i="24"/>
  <c r="J6" i="24"/>
  <c r="J4" i="24"/>
  <c r="G5" i="24"/>
  <c r="J8" i="24"/>
  <c r="G9" i="24"/>
  <c r="H13" i="21"/>
  <c r="H12" i="21"/>
  <c r="G11" i="21"/>
  <c r="G10" i="21"/>
  <c r="H3" i="21"/>
  <c r="G9" i="21"/>
  <c r="G8" i="21"/>
  <c r="G7" i="21"/>
  <c r="G6" i="21"/>
  <c r="G5" i="21"/>
  <c r="G4" i="21"/>
  <c r="G2" i="21"/>
  <c r="F3" i="20"/>
  <c r="F4" i="20"/>
  <c r="F5" i="20"/>
  <c r="F6" i="20"/>
  <c r="F2" i="20"/>
  <c r="D2" i="20" l="1"/>
  <c r="D3" i="20"/>
  <c r="D4" i="20"/>
  <c r="D5" i="20"/>
  <c r="D6" i="20"/>
  <c r="C3" i="20"/>
  <c r="C4" i="20"/>
  <c r="C5" i="20"/>
  <c r="C6" i="20"/>
  <c r="C2" i="20"/>
  <c r="B3" i="20"/>
  <c r="B4" i="20"/>
  <c r="B5" i="20"/>
  <c r="B6" i="20"/>
  <c r="B2" i="20"/>
  <c r="H25" i="10" l="1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<sst xmlns="http://schemas.openxmlformats.org/spreadsheetml/2006/main" count="33098" uniqueCount="8431">
  <si>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</si>
  <si>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</si>
  <si>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</si>
  <si>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</si>
  <si>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</si>
  <si>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</si>
  <si>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</si>
  <si>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</si>
  <si>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</si>
  <si>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</si>
  <si>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</si>
  <si>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</si>
  <si>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</si>
  <si>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</si>
  <si>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</si>
  <si>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</si>
  <si>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</si>
  <si>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</si>
  <si>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</si>
  <si>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</si>
  <si>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</si>
  <si>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</si>
  <si>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</si>
  <si>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</si>
  <si>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</si>
  <si>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</si>
  <si>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</si>
  <si>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</si>
  <si>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</si>
  <si>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</si>
  <si>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</si>
  <si>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</si>
  <si>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</si>
  <si>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</si>
  <si>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</si>
  <si>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</si>
  <si>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</si>
  <si>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</si>
  <si>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</si>
  <si>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</si>
  <si>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</si>
  <si>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</si>
  <si>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</si>
  <si>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</si>
  <si>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</si>
  <si>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</si>
  <si>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</si>
  <si>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</si>
  <si>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</si>
  <si>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</si>
  <si>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</si>
  <si>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</si>
  <si>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</si>
  <si>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</si>
  <si>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</si>
  <si>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</si>
  <si>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</si>
  <si>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</si>
  <si>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</si>
  <si>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</si>
  <si>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</si>
  <si>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</si>
  <si>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</si>
  <si>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</si>
  <si>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</si>
  <si>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</si>
  <si>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</si>
  <si>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</si>
  <si>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</si>
  <si>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</si>
  <si>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</si>
  <si>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</si>
  <si>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</si>
  <si>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</si>
  <si>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</si>
  <si>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</si>
  <si>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</si>
  <si>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</si>
  <si>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</si>
  <si>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</si>
  <si>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</si>
  <si>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</si>
  <si>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</si>
  <si>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</si>
  <si>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</si>
  <si>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</si>
  <si>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</si>
  <si>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</si>
  <si>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</si>
  <si>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</si>
  <si>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</si>
  <si>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</si>
  <si>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</si>
  <si>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</si>
  <si>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</si>
  <si>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</si>
  <si>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</si>
  <si>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</si>
  <si>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</si>
  <si>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</si>
  <si>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</si>
  <si>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</si>
  <si>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</si>
  <si>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</si>
  <si>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</si>
  <si>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</si>
  <si>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</si>
  <si>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</si>
  <si>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</si>
  <si>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</si>
  <si>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</si>
  <si>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</si>
  <si>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</si>
  <si>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</si>
  <si>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</si>
  <si>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</si>
  <si>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</si>
  <si>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</si>
  <si>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</si>
  <si>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</si>
  <si>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</si>
  <si>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</si>
  <si>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</si>
  <si>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</si>
  <si>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</si>
  <si>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</si>
  <si>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</si>
  <si>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</si>
  <si>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</si>
  <si>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</si>
  <si>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</si>
  <si>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</si>
  <si>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</si>
  <si>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</si>
  <si>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</si>
  <si>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</si>
  <si>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</si>
  <si>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</si>
  <si>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</si>
  <si>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</si>
  <si>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</si>
  <si>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</si>
  <si>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</si>
  <si>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</si>
  <si>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</si>
  <si>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</si>
  <si>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</si>
  <si>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</si>
  <si>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</si>
  <si>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</si>
  <si>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</si>
  <si>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</si>
  <si>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</si>
  <si>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</si>
  <si>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</si>
  <si>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</si>
  <si>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</si>
  <si>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</si>
  <si>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</si>
  <si>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</si>
  <si>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</si>
  <si>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</si>
  <si>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</si>
  <si>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</si>
  <si>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</si>
  <si>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</si>
  <si>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</si>
  <si>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</si>
  <si>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</si>
  <si>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</si>
  <si>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</si>
  <si>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</si>
  <si>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</si>
  <si>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</si>
  <si>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</si>
  <si>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</si>
  <si>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</si>
  <si>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</si>
  <si>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</si>
  <si>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</si>
  <si>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</si>
  <si>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</si>
  <si>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</si>
  <si>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</si>
  <si>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</si>
  <si>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</si>
  <si>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</si>
  <si>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</si>
  <si>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</si>
  <si>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</si>
  <si>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</si>
  <si>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</si>
  <si>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</si>
  <si>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</si>
  <si>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</si>
  <si>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</si>
  <si>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</si>
  <si>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</si>
  <si>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</si>
  <si>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</si>
  <si>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</si>
  <si>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</si>
  <si>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</si>
  <si>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</si>
  <si>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</si>
  <si>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</si>
  <si>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</si>
  <si>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</si>
  <si>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</si>
  <si>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</si>
  <si>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</si>
  <si>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</si>
  <si>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</si>
  <si>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</si>
  <si>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</si>
  <si>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</si>
  <si>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</si>
  <si>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</si>
  <si>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</si>
  <si>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</si>
  <si>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</si>
  <si>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</si>
  <si>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</si>
  <si>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</si>
  <si>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</si>
  <si>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</si>
  <si>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</si>
  <si>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</si>
  <si>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</si>
  <si>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</si>
  <si>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</si>
  <si>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</si>
  <si>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</si>
  <si>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</si>
  <si>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</si>
  <si>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</si>
  <si>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</si>
  <si>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</si>
  <si>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</si>
  <si>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</si>
  <si>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</si>
  <si>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</si>
  <si>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</si>
  <si>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</si>
  <si>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</si>
  <si>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</si>
  <si>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</si>
  <si>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</si>
  <si>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</si>
  <si>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</si>
  <si>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</si>
  <si>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</si>
  <si>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</si>
  <si>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</si>
  <si>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</si>
  <si>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</si>
  <si>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</si>
  <si>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</si>
  <si>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</si>
  <si>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</si>
  <si>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</si>
  <si>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</si>
  <si>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</si>
  <si>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</si>
  <si>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</si>
  <si>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</si>
  <si>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</si>
  <si>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</si>
  <si>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</si>
  <si>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</si>
  <si>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</si>
  <si>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</si>
  <si>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</si>
  <si>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</si>
  <si>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</si>
  <si>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</si>
  <si>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</si>
  <si>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</si>
  <si>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</si>
  <si>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</si>
  <si>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</si>
  <si>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</si>
  <si>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</si>
  <si>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</si>
  <si>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</si>
  <si>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</si>
  <si>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</si>
  <si>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</si>
  <si>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</si>
  <si>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</si>
  <si>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</si>
  <si>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</si>
  <si>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</si>
  <si>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</si>
  <si>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</si>
  <si>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</si>
  <si>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</si>
  <si>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</si>
  <si>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</si>
  <si>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</si>
  <si>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</si>
  <si>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</si>
  <si>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</si>
  <si>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</si>
  <si>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</si>
  <si>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</si>
  <si>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</si>
  <si>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</si>
  <si>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</si>
  <si>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</si>
  <si>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</si>
  <si>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</si>
  <si>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</si>
  <si>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</si>
  <si>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</si>
  <si>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</si>
  <si>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</si>
  <si>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</si>
  <si>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</si>
  <si>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</si>
  <si>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</si>
  <si>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</si>
  <si>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</si>
  <si>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</si>
  <si>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</si>
  <si>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</si>
  <si>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</si>
  <si>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</si>
  <si>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</si>
  <si>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</si>
  <si>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</si>
  <si>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</si>
  <si>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</si>
  <si>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</si>
  <si>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</si>
  <si>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</si>
  <si>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</si>
  <si>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</si>
  <si>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</si>
  <si>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</si>
  <si>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</si>
  <si>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</si>
  <si>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</si>
  <si>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</si>
  <si>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</si>
  <si>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</si>
  <si>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</si>
  <si>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</si>
  <si>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</si>
  <si>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</si>
  <si>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</si>
  <si>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</si>
  <si>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</si>
  <si>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</si>
  <si>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</si>
  <si>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</si>
  <si>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</si>
  <si>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</si>
  <si>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</si>
  <si>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</si>
  <si>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</si>
  <si>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</si>
  <si>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</si>
  <si>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</si>
  <si>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</si>
  <si>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</si>
  <si>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</si>
  <si>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</si>
  <si>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</si>
  <si>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</si>
  <si>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</si>
  <si>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</si>
  <si>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</si>
  <si>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</si>
  <si>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</si>
  <si>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</si>
  <si>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</si>
  <si>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</si>
  <si>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</si>
  <si>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</si>
  <si>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</si>
  <si>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</si>
  <si>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</si>
  <si>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</si>
  <si>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</si>
  <si>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</si>
  <si>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</si>
  <si>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</si>
  <si>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</si>
  <si>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</si>
  <si>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</si>
  <si>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</si>
  <si>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</si>
  <si>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</si>
  <si>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</si>
  <si>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</si>
  <si>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</si>
  <si>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</si>
  <si>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</si>
  <si>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</si>
  <si>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</si>
  <si>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</si>
  <si>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</si>
  <si>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</si>
  <si>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</si>
  <si>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</si>
  <si>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</si>
  <si>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</si>
  <si>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</si>
  <si>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</si>
  <si>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</si>
  <si>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</si>
  <si>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</si>
  <si>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</si>
  <si>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</si>
  <si>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</si>
  <si>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</si>
  <si>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</si>
  <si>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</si>
  <si>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</si>
  <si>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</si>
  <si>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</si>
  <si>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</si>
  <si>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</si>
  <si>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</si>
  <si>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</si>
  <si>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</si>
  <si>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</si>
  <si>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</si>
  <si>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</si>
  <si>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</si>
  <si>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</si>
  <si>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</si>
  <si>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</si>
  <si>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</si>
  <si>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</si>
  <si>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</si>
  <si>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</si>
  <si>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</si>
  <si>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</si>
  <si>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</si>
  <si>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</si>
  <si>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</si>
  <si>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</si>
  <si>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</si>
  <si>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</si>
  <si>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</si>
  <si>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</si>
  <si>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</si>
  <si>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</si>
  <si>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</si>
  <si>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</si>
  <si>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</si>
  <si>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</si>
  <si>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</si>
  <si>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</si>
  <si>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</si>
  <si>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</si>
  <si>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</si>
  <si>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</si>
  <si>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</si>
  <si>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</si>
  <si>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</si>
  <si>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</si>
  <si>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</si>
  <si>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</si>
  <si>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</si>
  <si>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</si>
  <si>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</si>
  <si>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</si>
  <si>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</si>
  <si>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</si>
  <si>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</si>
  <si>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</si>
  <si>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</si>
  <si>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</si>
  <si>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</si>
  <si>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</si>
  <si>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</si>
  <si>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</si>
  <si>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</si>
  <si>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</si>
  <si>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</si>
  <si>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</si>
  <si>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</si>
  <si>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</si>
  <si>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</si>
  <si>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</si>
  <si>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</si>
  <si>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</si>
  <si>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</si>
  <si>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</si>
  <si>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</si>
  <si>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</si>
  <si>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</si>
  <si>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</si>
  <si>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</si>
  <si>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</si>
  <si>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</si>
  <si>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</si>
  <si>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</si>
  <si>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</si>
  <si>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</si>
  <si>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</si>
  <si>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</si>
  <si>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</si>
  <si>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</si>
  <si>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</si>
  <si>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</si>
  <si>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</si>
  <si>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</si>
  <si>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</si>
  <si>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</si>
  <si>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</si>
  <si>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</si>
  <si>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</si>
  <si>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</si>
  <si>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</si>
  <si>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</si>
  <si>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</si>
  <si>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</si>
  <si>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</si>
  <si>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</si>
  <si>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</si>
  <si>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</si>
  <si>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</si>
  <si>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</si>
  <si>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</si>
  <si>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</si>
  <si>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</si>
  <si>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</si>
  <si>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</si>
  <si>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</si>
  <si>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</si>
  <si>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</si>
  <si>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</si>
  <si>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</si>
  <si>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</si>
  <si>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</si>
  <si>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</si>
  <si>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</si>
  <si>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</si>
  <si>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</si>
  <si>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</si>
  <si>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</si>
  <si>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</si>
  <si>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</si>
  <si>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</si>
  <si>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</si>
  <si>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</si>
  <si>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</si>
  <si>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</si>
  <si>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</si>
  <si>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</si>
  <si>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</si>
  <si>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</si>
  <si>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</si>
  <si>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</si>
  <si>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</si>
  <si>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</si>
  <si>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</si>
  <si>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</si>
  <si>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</si>
  <si>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</si>
  <si>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</si>
  <si>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</si>
  <si>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</si>
  <si>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</si>
  <si>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</si>
  <si>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</si>
  <si>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</si>
  <si>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</si>
  <si>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</si>
  <si>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</si>
  <si>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</si>
  <si>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</si>
  <si>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</si>
  <si>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</si>
  <si>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</si>
  <si>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</si>
  <si>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</si>
  <si>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</si>
  <si>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</si>
  <si>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</si>
  <si>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</si>
  <si>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</si>
  <si>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</si>
  <si>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</si>
  <si>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</si>
  <si>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</si>
  <si>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</si>
  <si>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</si>
  <si>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</si>
  <si>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</si>
  <si>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</si>
  <si>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</si>
  <si>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</si>
  <si>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</si>
  <si>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</si>
  <si>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</si>
  <si>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</si>
  <si>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</si>
  <si>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</si>
  <si>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</si>
  <si>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</si>
  <si>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</si>
  <si>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</si>
  <si>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</si>
  <si>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</si>
  <si>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</si>
  <si>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</si>
  <si>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</si>
  <si>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</si>
  <si>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</si>
  <si>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</si>
  <si>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</si>
  <si>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</si>
  <si>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</si>
  <si>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</si>
  <si>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</si>
  <si>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</si>
  <si>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</si>
  <si>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</si>
  <si>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</si>
  <si>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</si>
  <si>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</si>
  <si>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</si>
  <si>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</si>
  <si>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</si>
  <si>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</si>
  <si>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</si>
  <si>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</si>
  <si>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</si>
  <si>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</si>
  <si>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</si>
  <si>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</si>
  <si>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</si>
  <si>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</si>
  <si>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</si>
  <si>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</si>
  <si>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</si>
  <si>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</si>
  <si>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</si>
  <si>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</si>
  <si>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</si>
  <si>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</si>
  <si>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</si>
  <si>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</si>
  <si>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</si>
  <si>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</si>
  <si>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</si>
  <si>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</si>
  <si>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</si>
  <si>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</si>
  <si>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</si>
  <si>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</si>
  <si>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</si>
  <si>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</si>
  <si>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</si>
  <si>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</si>
  <si>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</si>
  <si>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</si>
  <si>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</si>
  <si>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</si>
  <si>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</si>
  <si>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</si>
  <si>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</si>
  <si>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</si>
  <si>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</si>
  <si>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</si>
  <si>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</si>
  <si>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</si>
  <si>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</si>
  <si>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</si>
  <si>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</si>
  <si>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</si>
  <si>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</si>
  <si>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</si>
  <si>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</si>
  <si>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</si>
  <si>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</si>
  <si>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</si>
  <si>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</si>
  <si>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</si>
  <si>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</si>
  <si>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</si>
  <si>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</si>
  <si>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</si>
  <si>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</si>
  <si>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</si>
  <si>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</si>
  <si>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</si>
  <si>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</si>
  <si>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</si>
  <si>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</si>
  <si>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</si>
  <si>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</si>
  <si>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</si>
  <si>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</si>
  <si>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</si>
  <si>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</si>
  <si>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</si>
  <si>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</si>
  <si>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</si>
  <si>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</si>
  <si>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</si>
  <si>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</si>
  <si>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</si>
  <si>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</si>
  <si>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</si>
  <si>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</si>
  <si>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</si>
  <si>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</si>
  <si>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</si>
  <si>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</si>
  <si>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</si>
  <si>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</si>
  <si>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</si>
  <si>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</si>
  <si>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</si>
  <si>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</si>
  <si>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</si>
  <si>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</si>
  <si>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</si>
  <si>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</si>
  <si>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</si>
  <si>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</si>
  <si>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</si>
  <si>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</si>
  <si>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</si>
  <si>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</si>
  <si>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</si>
  <si>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</si>
  <si>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</si>
  <si>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</si>
  <si>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</si>
  <si>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</si>
  <si>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</si>
  <si>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</si>
  <si>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</si>
  <si>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</si>
  <si>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</si>
  <si>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</si>
  <si>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</si>
  <si>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</si>
  <si>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</si>
  <si>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</si>
  <si>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</si>
  <si>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</si>
  <si>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</si>
  <si>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</si>
  <si>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</si>
  <si>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</si>
  <si>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</si>
  <si>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</si>
  <si>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</si>
  <si>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</si>
  <si>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</si>
  <si>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</si>
  <si>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</si>
  <si>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</si>
  <si>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</si>
  <si>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</si>
  <si>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</si>
  <si>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</si>
  <si>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</si>
  <si>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</si>
  <si>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</si>
  <si>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</si>
  <si>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</si>
  <si>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</si>
  <si>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</si>
  <si>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</si>
  <si>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</si>
  <si>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</si>
  <si>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</si>
  <si>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</si>
  <si>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</si>
  <si>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</si>
  <si>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</si>
  <si>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</si>
  <si>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</si>
  <si>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</si>
  <si>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</si>
  <si>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</si>
  <si>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</si>
  <si>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</si>
  <si>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</si>
  <si>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</si>
  <si>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</si>
  <si>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</si>
  <si>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</si>
  <si>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</si>
  <si>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</si>
  <si>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</si>
  <si>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</si>
  <si>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</si>
  <si>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</si>
  <si>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</si>
  <si>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</si>
  <si>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</si>
  <si>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</si>
  <si>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</si>
  <si>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</si>
  <si>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</si>
  <si>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</si>
  <si>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</si>
  <si>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</si>
  <si>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</si>
  <si>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</si>
  <si>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</si>
  <si>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</si>
  <si>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</si>
  <si>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</si>
  <si>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</si>
  <si>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</si>
  <si>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</si>
  <si>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</si>
  <si>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</si>
  <si>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</si>
  <si>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</si>
  <si>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</si>
  <si>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</si>
  <si>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</si>
  <si>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</si>
  <si>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</si>
  <si>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</si>
  <si>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</si>
  <si>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</si>
  <si>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</si>
  <si>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</si>
  <si>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</si>
  <si>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</si>
  <si>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</si>
  <si>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</si>
  <si>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</si>
  <si>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</si>
  <si>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</si>
  <si>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</si>
  <si>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</si>
  <si>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</si>
  <si>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</si>
  <si>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</si>
  <si>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</si>
  <si>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</si>
  <si>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</si>
  <si>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</si>
  <si>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</si>
  <si>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</si>
  <si>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</si>
  <si>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</si>
  <si>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</si>
  <si>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</si>
  <si>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</si>
  <si>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</si>
  <si>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</si>
  <si>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</si>
  <si>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</si>
  <si>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</si>
  <si>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</si>
  <si>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</si>
  <si>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</si>
  <si>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</si>
  <si>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</si>
  <si>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</si>
  <si>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</si>
  <si>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</si>
  <si>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</si>
  <si>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</si>
  <si>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</si>
  <si>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</si>
  <si>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</si>
  <si>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</si>
  <si>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</si>
  <si>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</si>
  <si>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</si>
  <si>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</si>
  <si>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</si>
  <si>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</si>
  <si>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</si>
  <si>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</si>
  <si>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</si>
  <si>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</si>
  <si>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</si>
  <si>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</si>
  <si>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</si>
  <si>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</si>
  <si>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</si>
  <si>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</si>
  <si>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</si>
  <si>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</si>
  <si>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</si>
  <si>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</si>
  <si>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</si>
  <si>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</si>
  <si>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</si>
  <si>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</si>
  <si>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</si>
  <si>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</si>
  <si>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</si>
  <si>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</si>
  <si>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</si>
  <si>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</si>
  <si>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</si>
  <si>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</si>
  <si>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</si>
  <si>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</si>
  <si>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</si>
  <si>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</si>
  <si>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</si>
  <si>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</si>
  <si>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</si>
  <si>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</si>
  <si>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</si>
  <si>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</si>
  <si>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</si>
  <si>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</si>
  <si>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</si>
  <si>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</si>
  <si>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</si>
  <si>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</si>
  <si>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</si>
  <si>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</si>
  <si>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</si>
  <si>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</si>
  <si>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</si>
  <si>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</si>
  <si>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</si>
  <si>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</si>
  <si>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</si>
  <si>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</si>
  <si>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</si>
  <si>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</si>
  <si>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</si>
  <si>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</si>
  <si>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</si>
  <si>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</si>
  <si>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</si>
  <si>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</si>
  <si>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</si>
  <si>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</si>
  <si>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</si>
  <si>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</si>
  <si>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</si>
  <si>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</si>
  <si>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</si>
  <si>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</si>
  <si>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</si>
  <si>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</si>
  <si>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</si>
  <si>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</si>
  <si>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</si>
  <si>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</si>
  <si>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</si>
  <si>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</si>
  <si>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</si>
  <si>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</si>
  <si>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</si>
  <si>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</si>
  <si>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</si>
  <si>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</si>
  <si>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</si>
  <si>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</si>
  <si>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</si>
  <si>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</si>
  <si>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</si>
  <si>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</si>
  <si>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</si>
  <si>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</si>
  <si>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</si>
  <si>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</si>
  <si>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</si>
  <si>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</si>
  <si>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</si>
  <si>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</si>
  <si>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</si>
  <si>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</si>
  <si>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</si>
  <si>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</si>
  <si>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</si>
  <si>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</si>
  <si>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</si>
  <si>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</si>
  <si>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</si>
  <si>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</si>
  <si>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</si>
  <si>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</si>
  <si>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</si>
  <si>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</si>
  <si>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</si>
  <si>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</si>
  <si>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</si>
  <si>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</si>
  <si>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</si>
  <si>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</si>
  <si>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</si>
  <si>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</si>
  <si>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</si>
  <si>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</si>
  <si>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</si>
  <si>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</si>
  <si>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</si>
  <si>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</si>
  <si>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</si>
  <si>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</si>
  <si>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</si>
  <si>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</si>
  <si>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</si>
  <si>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</si>
  <si>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</si>
  <si>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</si>
  <si>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</si>
  <si>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</si>
  <si>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</si>
  <si>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</si>
  <si>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</si>
  <si>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</si>
  <si>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</si>
  <si>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</si>
  <si>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</si>
  <si>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</si>
  <si>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</si>
  <si>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</si>
  <si>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</si>
  <si>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</si>
  <si>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</si>
  <si>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</si>
  <si>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</si>
  <si>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</si>
  <si>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</si>
  <si>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</si>
  <si>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</si>
  <si>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</si>
  <si>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</si>
  <si>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</si>
  <si>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</si>
  <si>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</si>
  <si>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</si>
  <si>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</si>
  <si>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</si>
  <si>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</si>
  <si>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</si>
  <si>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</si>
  <si>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</si>
  <si>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</si>
  <si>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</si>
  <si>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</si>
  <si>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</si>
  <si>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</si>
  <si>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</si>
  <si>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</si>
  <si>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</si>
  <si>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</si>
  <si>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</si>
  <si>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</si>
  <si>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</si>
  <si>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</si>
  <si>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</si>
  <si>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</si>
  <si>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</si>
  <si>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</si>
  <si>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</si>
  <si>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</si>
  <si>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</si>
  <si>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</si>
  <si>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</si>
  <si>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</si>
  <si>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</si>
  <si>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</si>
  <si>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</si>
  <si>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</si>
  <si>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</si>
  <si>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</si>
  <si>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</si>
  <si>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</si>
  <si>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</si>
  <si>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</si>
  <si>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</si>
  <si>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</si>
  <si>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</si>
  <si>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</si>
  <si>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</si>
  <si>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</si>
  <si>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</si>
  <si>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</si>
  <si>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</si>
  <si>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</si>
  <si>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</si>
  <si>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</si>
  <si>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</si>
  <si>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</si>
  <si>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</si>
  <si>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</si>
  <si>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</si>
  <si>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</si>
  <si>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</si>
  <si>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</si>
  <si>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</si>
  <si>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</si>
  <si>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</si>
  <si>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</si>
  <si>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</si>
  <si>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</si>
  <si>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</si>
  <si>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</si>
  <si>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</si>
  <si>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</si>
  <si>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</si>
  <si>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</si>
  <si>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</si>
  <si>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</si>
  <si>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</si>
  <si>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</si>
  <si>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</si>
  <si>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</si>
  <si>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</si>
  <si>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</si>
  <si>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</si>
  <si>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</si>
  <si>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</si>
  <si>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</si>
  <si>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</si>
  <si>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</si>
  <si>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</si>
  <si>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</si>
  <si>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</si>
  <si>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</si>
  <si>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</si>
  <si>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</si>
  <si>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</si>
  <si>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</si>
  <si>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</si>
  <si>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</si>
  <si>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</si>
  <si>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</si>
  <si>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</si>
  <si>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</si>
  <si>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</si>
  <si>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</si>
  <si>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</si>
  <si>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</si>
  <si>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</si>
  <si>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</si>
  <si>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</si>
  <si>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</si>
  <si>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</si>
  <si>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</si>
  <si>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</si>
  <si>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</si>
  <si>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</si>
  <si>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</si>
  <si>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</si>
  <si>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</si>
  <si>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</si>
  <si>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</si>
  <si>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</si>
  <si>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</si>
  <si>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</si>
  <si>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</si>
  <si>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</si>
  <si>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</si>
  <si>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</si>
  <si>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</si>
  <si>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</si>
  <si>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</si>
  <si>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</si>
  <si>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</si>
  <si>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</si>
  <si>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</si>
  <si>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</si>
  <si>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</si>
  <si>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</si>
  <si>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</si>
  <si>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</si>
  <si>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</si>
  <si>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</si>
  <si>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</si>
  <si>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</si>
  <si>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</si>
  <si>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</si>
  <si>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</si>
  <si>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</si>
  <si>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</si>
  <si>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</si>
  <si>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</si>
  <si>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</si>
  <si>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</si>
  <si>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</si>
  <si>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</si>
  <si>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</si>
  <si>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</si>
  <si>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</si>
  <si>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</si>
  <si>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</si>
  <si>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</si>
  <si>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</si>
  <si>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</si>
  <si>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</si>
  <si>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</si>
  <si>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</si>
  <si>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</si>
  <si>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</si>
  <si>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</si>
  <si>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</si>
  <si>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</si>
  <si>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</si>
  <si>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</si>
  <si>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</si>
  <si>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</si>
  <si>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</si>
  <si>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</si>
  <si>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</si>
  <si>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</si>
  <si>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</si>
  <si>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</si>
  <si>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</si>
  <si>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</si>
  <si>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</si>
  <si>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</si>
  <si>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</si>
  <si>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</si>
  <si>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</si>
  <si>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</si>
  <si>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</si>
  <si>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</si>
  <si>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</si>
  <si>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</si>
  <si>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</si>
  <si>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</si>
  <si>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</si>
  <si>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</si>
  <si>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</si>
  <si>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</si>
  <si>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</si>
  <si>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</si>
  <si>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</si>
  <si>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</si>
  <si>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</si>
  <si>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</si>
  <si>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</si>
  <si>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</si>
  <si>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</si>
  <si>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</si>
  <si>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</si>
  <si>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</si>
  <si>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</si>
  <si>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</si>
  <si>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</si>
  <si>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</si>
  <si>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</si>
  <si>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</si>
  <si>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</si>
  <si>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</si>
  <si>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</si>
  <si>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</si>
  <si>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</si>
  <si>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</si>
  <si>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</si>
  <si>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</si>
  <si>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</si>
  <si>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</si>
  <si>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</si>
  <si>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</si>
  <si>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</si>
  <si>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</si>
  <si>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</si>
  <si>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</si>
  <si>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</si>
  <si>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</si>
  <si>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</si>
  <si>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</si>
  <si>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</si>
  <si>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</si>
  <si>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</si>
  <si>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</si>
  <si>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</si>
  <si>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</si>
  <si>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</si>
  <si>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</si>
  <si>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</si>
  <si>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</si>
  <si>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</si>
  <si>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</si>
  <si>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</si>
  <si>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</si>
  <si>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</si>
  <si>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</si>
  <si>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</si>
  <si>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</si>
  <si>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</si>
  <si>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</si>
  <si>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</si>
  <si>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</si>
  <si>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</si>
  <si>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</si>
  <si>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</si>
  <si>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</si>
  <si>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</si>
  <si>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</si>
  <si>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</si>
  <si>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</si>
  <si>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</si>
  <si>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</si>
  <si>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</si>
  <si>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</si>
  <si>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</si>
  <si>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</si>
  <si>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</si>
  <si>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</si>
  <si>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</si>
  <si>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</si>
  <si>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</si>
  <si>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</si>
  <si>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</si>
  <si>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</si>
  <si>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</si>
  <si>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</si>
  <si>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</si>
  <si>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</si>
  <si>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</si>
  <si>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</si>
  <si>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</si>
  <si>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</si>
  <si>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</si>
  <si>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</si>
  <si>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</si>
  <si>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</si>
  <si>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</si>
  <si>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</si>
  <si>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</si>
  <si>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</si>
  <si>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</si>
  <si>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</si>
  <si>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</si>
  <si>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</si>
  <si>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</si>
  <si>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</si>
  <si>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</si>
  <si>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</si>
  <si>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</si>
  <si>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</si>
  <si>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</si>
  <si>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</si>
  <si>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</si>
  <si>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</si>
  <si>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</si>
  <si>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</si>
  <si>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</si>
  <si>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</si>
  <si>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</si>
  <si>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</si>
  <si>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</si>
  <si>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</si>
  <si>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</si>
  <si>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</si>
  <si>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</si>
  <si>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</si>
  <si>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</si>
  <si>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</si>
  <si>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</si>
  <si>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</si>
  <si>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</si>
  <si>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</si>
  <si>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</si>
  <si>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</si>
  <si>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</si>
  <si>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</si>
  <si>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</si>
  <si>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</si>
  <si>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</si>
  <si>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</si>
  <si>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</si>
  <si>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</si>
  <si>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</si>
  <si>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</si>
  <si>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</si>
  <si>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</si>
  <si>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</si>
  <si>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</si>
  <si>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</si>
  <si>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</si>
  <si>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</si>
  <si>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</si>
  <si>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</si>
  <si>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</si>
  <si>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</si>
  <si>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</si>
  <si>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</si>
  <si>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</si>
  <si>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</si>
  <si>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</si>
  <si>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</si>
  <si>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</si>
  <si>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</si>
  <si>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</si>
  <si>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</si>
  <si>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</si>
  <si>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</si>
  <si>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</si>
  <si>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</si>
  <si>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</si>
  <si>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</si>
  <si>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</si>
  <si>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</si>
  <si>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</si>
  <si>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</si>
  <si>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</si>
  <si>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</si>
  <si>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</si>
  <si>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</si>
  <si>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</si>
  <si>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</si>
  <si>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</si>
  <si>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</si>
  <si>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</si>
  <si>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</si>
  <si>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</si>
  <si>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</si>
  <si>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</si>
  <si>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</si>
  <si>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</si>
  <si>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</si>
  <si>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</si>
  <si>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</si>
  <si>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</si>
  <si>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</si>
  <si>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</si>
  <si>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</si>
  <si>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</si>
  <si>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</si>
  <si>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</si>
  <si>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</si>
  <si>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</si>
  <si>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</si>
  <si>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</si>
  <si>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</si>
  <si>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</si>
  <si>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</si>
  <si>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</si>
  <si>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</si>
  <si>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</si>
  <si>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</si>
  <si>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</si>
  <si>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</si>
  <si>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</si>
  <si>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</si>
  <si>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</si>
  <si>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</si>
  <si>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</si>
  <si>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</si>
  <si>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</si>
  <si>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</si>
  <si>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</si>
  <si>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</si>
  <si>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</si>
  <si>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</si>
  <si>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</si>
  <si>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</si>
  <si>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</si>
  <si>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</si>
  <si>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</si>
  <si>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</si>
  <si>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</si>
  <si>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</si>
  <si>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</si>
  <si>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</si>
  <si>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</si>
  <si>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</si>
  <si>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</si>
  <si>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</si>
  <si>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</si>
  <si>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</si>
  <si>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</si>
  <si>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</si>
  <si>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</si>
  <si>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</si>
  <si>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</si>
  <si>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</si>
  <si>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</si>
  <si>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</si>
  <si>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</si>
  <si>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</si>
  <si>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</si>
  <si>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</si>
  <si>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</si>
  <si>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</si>
  <si>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</si>
  <si>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</si>
  <si>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</si>
  <si>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</si>
  <si>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</si>
  <si>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</si>
  <si>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</si>
  <si>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</si>
  <si>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</si>
  <si>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</si>
  <si>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</si>
  <si>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</si>
  <si>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</si>
  <si>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</si>
  <si>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</si>
  <si>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</si>
  <si>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</si>
  <si>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</si>
  <si>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</si>
  <si>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</si>
  <si>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</si>
  <si>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</si>
  <si>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</si>
  <si>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</si>
  <si>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</si>
  <si>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</si>
  <si>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</si>
  <si>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</si>
  <si>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</si>
  <si>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</si>
  <si>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</si>
  <si>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</si>
  <si>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</si>
  <si>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</si>
  <si>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</si>
  <si>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</si>
  <si>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</si>
  <si>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</si>
  <si>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</si>
  <si>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</si>
  <si>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</si>
  <si>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</si>
  <si>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</si>
  <si>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</si>
  <si>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</si>
  <si>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</si>
  <si>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</si>
  <si>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</si>
  <si>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</si>
  <si>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</si>
  <si>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</si>
  <si>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</si>
  <si>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</si>
  <si>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</si>
  <si>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</si>
  <si>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</si>
  <si>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</si>
  <si>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</si>
  <si>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</si>
  <si>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</si>
  <si>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</si>
  <si>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</si>
  <si>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</si>
  <si>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</si>
  <si>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</si>
  <si>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</si>
  <si>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</si>
  <si>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</si>
  <si>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</si>
  <si>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</si>
  <si>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</si>
  <si>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</si>
  <si>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</si>
  <si>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</si>
  <si>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</si>
  <si>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</si>
  <si>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</si>
  <si>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</si>
  <si>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</si>
  <si>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</si>
  <si>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</si>
  <si>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</si>
  <si>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</si>
  <si>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</si>
  <si>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</si>
  <si>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</si>
  <si>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</si>
  <si>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</si>
  <si>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</si>
  <si>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</si>
  <si>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</si>
  <si>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</si>
  <si>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</si>
  <si>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</si>
  <si>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</si>
  <si>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</si>
  <si>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</si>
  <si>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</si>
  <si>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</si>
  <si>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</si>
  <si>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</si>
  <si>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</si>
  <si>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</si>
  <si>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</si>
  <si>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</si>
  <si>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</si>
  <si>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</si>
  <si>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</si>
  <si>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</si>
  <si>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</si>
  <si>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</si>
  <si>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</si>
  <si>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</si>
  <si>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</si>
  <si>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</si>
  <si>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</si>
  <si>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</si>
  <si>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</si>
  <si>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</si>
  <si>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</si>
  <si>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</si>
  <si>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</si>
  <si>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</si>
  <si>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</si>
  <si>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</si>
  <si>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</si>
  <si>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</si>
  <si>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</si>
  <si>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</si>
  <si>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</si>
  <si>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</si>
  <si>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</si>
  <si>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</si>
  <si>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</si>
  <si>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</si>
  <si>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</si>
  <si>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</si>
  <si>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</si>
  <si>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</si>
  <si>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</si>
  <si>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</si>
  <si>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</si>
  <si>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</si>
  <si>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</si>
  <si>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</si>
  <si>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</si>
  <si>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</si>
  <si>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</si>
  <si>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</si>
  <si>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</si>
  <si>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</si>
  <si>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</si>
  <si>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</si>
  <si>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</si>
  <si>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</si>
  <si>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</si>
  <si>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</si>
  <si>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</si>
  <si>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</si>
  <si>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</si>
  <si>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</si>
  <si>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</si>
  <si>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</si>
  <si>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</si>
  <si>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</si>
  <si>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</si>
  <si>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</si>
  <si>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</si>
  <si>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</si>
  <si>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</si>
  <si>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</si>
  <si>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</si>
  <si>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</si>
  <si>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</si>
  <si>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</si>
  <si>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</si>
  <si>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</si>
  <si>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</si>
  <si>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</si>
  <si>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</si>
  <si>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</si>
  <si>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</si>
  <si>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</si>
  <si>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</si>
  <si>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</si>
  <si>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</si>
  <si>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</si>
  <si>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</si>
  <si>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</si>
  <si>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</si>
  <si>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</si>
  <si>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</si>
  <si>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</si>
  <si>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</si>
  <si>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</si>
  <si>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</si>
  <si>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</si>
  <si>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</si>
  <si>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</si>
  <si>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</si>
  <si>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</si>
  <si>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</si>
  <si>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</si>
  <si>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</si>
  <si>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</si>
  <si>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</si>
  <si>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</si>
  <si>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</si>
  <si>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</si>
  <si>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</si>
  <si>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</si>
  <si>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</si>
  <si>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</si>
  <si>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</si>
  <si>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</si>
  <si>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</si>
  <si>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</si>
  <si>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</si>
  <si>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</si>
  <si>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</si>
  <si>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</si>
  <si>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</si>
  <si>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</si>
  <si>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</si>
  <si>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</si>
  <si>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</si>
  <si>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</si>
  <si>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</si>
  <si>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</si>
  <si>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</si>
  <si>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</si>
  <si>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</si>
  <si>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</si>
  <si>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</si>
  <si>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</si>
  <si>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</si>
  <si>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</si>
  <si>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</si>
  <si>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</si>
  <si>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</si>
  <si>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</si>
  <si>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</si>
  <si>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</si>
  <si>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</si>
  <si>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</si>
  <si>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</si>
  <si>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</si>
  <si>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</si>
  <si>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</si>
  <si>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</si>
  <si>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</si>
  <si>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</si>
  <si>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</si>
  <si>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</si>
  <si>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</si>
  <si>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</si>
  <si>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</si>
  <si>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</si>
  <si>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</si>
  <si>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</si>
  <si>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</si>
  <si>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</si>
  <si>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</si>
  <si>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</si>
  <si>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</si>
  <si>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</si>
  <si>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</si>
  <si>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</si>
  <si>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</si>
  <si>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</si>
  <si>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</si>
  <si>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</si>
  <si>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</si>
  <si>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</si>
  <si>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</si>
  <si>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</si>
  <si>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</si>
  <si>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</si>
  <si>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</si>
  <si>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</si>
  <si>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</si>
  <si>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</si>
  <si>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</si>
  <si>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</si>
  <si>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</si>
  <si>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</si>
  <si>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</si>
  <si>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</si>
  <si>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</si>
  <si>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</si>
  <si>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</si>
  <si>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</si>
  <si>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</si>
  <si>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</si>
  <si>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</si>
  <si>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</si>
  <si>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</si>
  <si>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</si>
  <si>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</si>
  <si>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</si>
  <si>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</si>
  <si>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</si>
  <si>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</si>
  <si>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</si>
  <si>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</si>
  <si>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</si>
  <si>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</si>
  <si>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</si>
  <si>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</si>
  <si>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</si>
  <si>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</si>
  <si>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</si>
  <si>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</si>
  <si>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</si>
  <si>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</si>
  <si>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</si>
  <si>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</si>
  <si>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</si>
  <si>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</si>
  <si>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</si>
  <si>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</si>
  <si>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</si>
  <si>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</si>
  <si>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</si>
  <si>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</si>
  <si>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</si>
  <si>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</si>
  <si>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</si>
  <si>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</si>
  <si>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</si>
  <si>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</si>
  <si>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</si>
  <si>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</si>
  <si>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</si>
  <si>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</si>
  <si>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</si>
  <si>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</si>
  <si>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</si>
  <si>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</si>
  <si>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</si>
  <si>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</si>
  <si>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</si>
  <si>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</si>
  <si>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</si>
  <si>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</si>
  <si>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</si>
  <si>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</si>
  <si>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</si>
  <si>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</si>
  <si>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</si>
  <si>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</si>
  <si>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</si>
  <si>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</si>
  <si>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</si>
  <si>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</si>
  <si>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</si>
  <si>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</si>
  <si>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</si>
  <si>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</si>
  <si>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</si>
  <si>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</si>
  <si>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</si>
  <si>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</si>
  <si>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</si>
  <si>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</si>
  <si>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</si>
  <si>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</si>
  <si>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</si>
  <si>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</si>
  <si>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</si>
  <si>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</si>
  <si>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</si>
  <si>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</si>
  <si>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</si>
  <si>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</si>
  <si>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</si>
  <si>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</si>
  <si>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</si>
  <si>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</si>
  <si>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</si>
  <si>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</si>
  <si>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</si>
  <si>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</si>
  <si>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</si>
  <si>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</si>
  <si>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</si>
  <si>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</si>
  <si>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</si>
  <si>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</si>
  <si>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</si>
  <si>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</si>
  <si>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</si>
  <si>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</si>
  <si>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</si>
  <si>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</si>
  <si>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</si>
  <si>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</si>
  <si>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</si>
  <si>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</si>
  <si>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</si>
  <si>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</si>
  <si>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</si>
  <si>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</si>
  <si>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</si>
  <si>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</si>
  <si>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</si>
  <si>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</si>
  <si>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</si>
  <si>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</si>
  <si>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</si>
  <si>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</si>
  <si>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</si>
  <si>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</si>
  <si>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</si>
  <si>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</si>
  <si>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</si>
  <si>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</si>
  <si>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</si>
  <si>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</si>
  <si>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</si>
  <si>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</si>
  <si>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</si>
  <si>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</si>
  <si>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</si>
  <si>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</si>
  <si>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</si>
  <si>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</si>
  <si>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</si>
  <si>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</si>
  <si>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</si>
  <si>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</si>
  <si>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</si>
  <si>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</si>
  <si>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</si>
  <si>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</si>
  <si>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</si>
  <si>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</si>
  <si>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</si>
  <si>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</si>
  <si>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</si>
  <si>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</si>
  <si>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</si>
  <si>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</si>
  <si>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</si>
  <si>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</si>
  <si>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</si>
  <si>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</si>
  <si>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</si>
  <si>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</si>
  <si>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</si>
  <si>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</si>
  <si>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</si>
  <si>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</si>
  <si>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</si>
  <si>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</si>
  <si>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</si>
  <si>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</si>
  <si>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</si>
  <si>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</si>
  <si>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</si>
  <si>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</si>
  <si>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</si>
  <si>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</si>
  <si>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</si>
  <si>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</si>
  <si>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</si>
  <si>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</si>
  <si>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</si>
  <si>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</si>
  <si>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</si>
  <si>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</si>
  <si>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</si>
  <si>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</si>
  <si>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</si>
  <si>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</si>
  <si>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</si>
  <si>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</si>
  <si>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</si>
  <si>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</si>
  <si>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</si>
  <si>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</si>
  <si>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</si>
  <si>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</si>
  <si>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</si>
  <si>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</si>
  <si>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</si>
  <si>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</si>
  <si>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</si>
  <si>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</si>
  <si>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</si>
  <si>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</si>
  <si>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</si>
  <si>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</si>
  <si>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</si>
  <si>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</si>
  <si>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</si>
  <si>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</si>
  <si>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</si>
  <si>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</si>
  <si>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</si>
  <si>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</si>
  <si>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</si>
  <si>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</si>
  <si>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</si>
  <si>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</si>
  <si>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</si>
  <si>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</si>
  <si>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</si>
  <si>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</si>
  <si>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</si>
  <si>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</si>
  <si>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</si>
  <si>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</si>
  <si>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</si>
  <si>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</si>
  <si>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</si>
  <si>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</si>
  <si>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</si>
  <si>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</si>
  <si>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</si>
  <si>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</si>
  <si>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</si>
  <si>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</si>
  <si>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</si>
  <si>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</si>
  <si>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</si>
  <si>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</si>
  <si>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</si>
  <si>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</si>
  <si>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</si>
  <si>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</si>
  <si>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</si>
  <si>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</si>
  <si>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</si>
  <si>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</si>
  <si>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</si>
  <si>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</si>
  <si>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</si>
  <si>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</si>
  <si>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</si>
  <si>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</si>
  <si>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</si>
  <si>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</si>
  <si>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</si>
  <si>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</si>
  <si>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</si>
  <si>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</si>
  <si>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</si>
  <si>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</si>
  <si>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</si>
  <si>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</si>
  <si>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</si>
  <si>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</si>
  <si>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</si>
  <si>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</si>
  <si>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</si>
  <si>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</si>
  <si>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</si>
  <si>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</si>
  <si>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</si>
  <si>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</si>
  <si>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</si>
  <si>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</si>
  <si>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</si>
  <si>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</si>
  <si>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</si>
  <si>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</si>
  <si>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</si>
  <si>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</si>
  <si>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</si>
  <si>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</si>
  <si>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</si>
  <si>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</si>
  <si>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</si>
  <si>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</si>
  <si>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</si>
  <si>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</si>
  <si>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</si>
  <si>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</si>
  <si>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</si>
  <si>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</si>
  <si>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</si>
  <si>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</si>
  <si>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</si>
  <si>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</si>
  <si>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</si>
  <si>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</si>
  <si>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</si>
  <si>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</si>
  <si>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</si>
  <si>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</si>
  <si>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</si>
  <si>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</si>
  <si>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</si>
  <si>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</si>
  <si>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</si>
  <si>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</si>
  <si>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</si>
  <si>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</si>
  <si>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</si>
  <si>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</si>
  <si>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</si>
  <si>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</si>
  <si>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</si>
  <si>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</si>
  <si>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</si>
  <si>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</si>
  <si>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</si>
  <si>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</si>
  <si>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</si>
  <si>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</si>
  <si>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</si>
  <si>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</si>
  <si>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</si>
  <si>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</si>
  <si>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</si>
  <si>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</si>
  <si>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</si>
  <si>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</si>
  <si>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</si>
  <si>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</si>
  <si>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</si>
  <si>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</si>
  <si>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</si>
  <si>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</si>
  <si>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</si>
  <si>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</si>
  <si>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</si>
  <si>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</si>
  <si>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</si>
  <si>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</si>
  <si>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</si>
  <si>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</si>
  <si>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</si>
  <si>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</si>
  <si>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</si>
  <si>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</si>
  <si>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</si>
  <si>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</si>
  <si>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</si>
  <si>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</si>
  <si>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</si>
  <si>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</si>
  <si>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</si>
  <si>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</si>
  <si>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</si>
  <si>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</si>
  <si>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</si>
  <si>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</si>
  <si>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</si>
  <si>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</si>
  <si>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</si>
  <si>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</si>
  <si>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</si>
  <si>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</si>
  <si>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</si>
  <si>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</si>
  <si>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</si>
  <si>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</si>
  <si>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</si>
  <si>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</si>
  <si>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</si>
  <si>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</si>
  <si>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</si>
  <si>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</si>
  <si>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</si>
  <si>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</si>
  <si>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</si>
  <si>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</si>
  <si>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</si>
  <si>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</si>
  <si>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</si>
  <si>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</si>
  <si>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</si>
  <si>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</si>
  <si>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</si>
  <si>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</si>
  <si>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</si>
  <si>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</si>
  <si>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</si>
  <si>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</si>
  <si>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</si>
  <si>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</si>
  <si>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</si>
  <si>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</si>
  <si>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</si>
  <si>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</si>
  <si>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</si>
  <si>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</si>
  <si>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</si>
  <si>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</si>
  <si>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</si>
  <si>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</si>
  <si>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</si>
  <si>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</si>
  <si>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</si>
  <si>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</si>
  <si>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</si>
  <si>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</si>
  <si>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</si>
  <si>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</si>
  <si>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</si>
  <si>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</si>
  <si>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</si>
  <si>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</si>
  <si>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</si>
  <si>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</si>
  <si>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</si>
  <si>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</si>
  <si>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</si>
  <si>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</si>
  <si>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</si>
  <si>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</si>
  <si>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</si>
  <si>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</si>
  <si>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</si>
  <si>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</si>
  <si>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</si>
  <si>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</si>
  <si>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</si>
  <si>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</si>
  <si>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</si>
  <si>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</si>
  <si>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</si>
  <si>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</si>
  <si>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</si>
  <si>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</si>
  <si>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</si>
  <si>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</si>
  <si>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</si>
  <si>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</si>
  <si>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</si>
  <si>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</si>
  <si>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</si>
  <si>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</si>
  <si>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</si>
  <si>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</si>
  <si>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</si>
  <si>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</si>
  <si>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</si>
  <si>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</si>
  <si>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</si>
  <si>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</si>
  <si>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</si>
  <si>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</si>
  <si>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</si>
  <si>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</si>
  <si>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</si>
  <si>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</si>
  <si>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</si>
  <si>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</si>
  <si>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</si>
  <si>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</si>
  <si>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</si>
  <si>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</si>
  <si>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</si>
  <si>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</si>
  <si>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</si>
  <si>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</si>
  <si>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</si>
  <si>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</si>
  <si>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</si>
  <si>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</si>
  <si>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</si>
  <si>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</si>
  <si>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</si>
  <si>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</si>
  <si>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</si>
  <si>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</si>
  <si>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</si>
  <si>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</si>
  <si>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</si>
  <si>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</si>
  <si>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</si>
  <si>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</si>
  <si>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</si>
  <si>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</si>
  <si>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</si>
  <si>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</si>
  <si>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</si>
  <si>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</si>
  <si>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</si>
  <si>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</si>
  <si>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</si>
  <si>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</si>
  <si>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</si>
  <si>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</si>
  <si>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</si>
  <si>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</si>
  <si>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</si>
  <si>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</si>
  <si>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</si>
  <si>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</si>
  <si>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</si>
  <si>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</si>
  <si>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</si>
  <si>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</si>
  <si>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</si>
  <si>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</si>
  <si>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</si>
  <si>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</si>
  <si>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</si>
  <si>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</si>
  <si>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</si>
  <si>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</si>
  <si>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</si>
  <si>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</si>
  <si>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</si>
  <si>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</si>
  <si>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</si>
  <si>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</si>
  <si>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</si>
  <si>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</si>
  <si>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</si>
  <si>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</si>
  <si>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</si>
  <si>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</si>
  <si>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</si>
  <si>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</si>
  <si>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</si>
  <si>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</si>
  <si>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</si>
  <si>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</si>
  <si>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</si>
  <si>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</si>
  <si>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</si>
  <si>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</si>
  <si>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</si>
  <si>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</si>
  <si>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</si>
  <si>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</si>
  <si>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</si>
  <si>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</si>
  <si>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</si>
  <si>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</si>
  <si>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</si>
  <si>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</si>
  <si>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</si>
  <si>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</si>
  <si>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</si>
  <si>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</si>
  <si>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</si>
  <si>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</si>
  <si>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</si>
  <si>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</si>
  <si>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</si>
  <si>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</si>
  <si>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</si>
  <si>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</si>
  <si>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</si>
  <si>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</si>
  <si>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</si>
  <si>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</si>
  <si>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</si>
  <si>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</si>
  <si>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</si>
  <si>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</si>
  <si>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</si>
  <si>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</si>
  <si>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</si>
  <si>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</si>
  <si>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</si>
  <si>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</si>
  <si>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</si>
  <si>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</si>
  <si>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</si>
  <si>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</si>
  <si>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</si>
  <si>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</si>
  <si>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</si>
  <si>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</si>
  <si>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</si>
  <si>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</si>
  <si>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</si>
  <si>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</si>
  <si>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</si>
  <si>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</si>
  <si>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</si>
  <si>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</si>
  <si>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</si>
  <si>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</si>
  <si>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</si>
  <si>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</si>
  <si>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</si>
  <si>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</si>
  <si>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</si>
  <si>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</si>
  <si>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</si>
  <si>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</si>
  <si>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</si>
  <si>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</si>
  <si>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</si>
  <si>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</si>
  <si>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</si>
  <si>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</si>
  <si>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</si>
  <si>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</si>
  <si>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</si>
  <si>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</si>
  <si>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</si>
  <si>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</si>
  <si>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</si>
  <si>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</si>
  <si>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</si>
  <si>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</si>
  <si>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</si>
  <si>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</si>
  <si>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</si>
  <si>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</si>
  <si>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</si>
  <si>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</si>
  <si>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</si>
  <si>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</si>
  <si>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</si>
  <si>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</si>
  <si>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</si>
  <si>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</si>
  <si>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</si>
  <si>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</si>
  <si>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</si>
  <si>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</si>
  <si>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</si>
  <si>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</si>
  <si>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</si>
  <si>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</si>
  <si>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</si>
  <si>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</si>
  <si>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</si>
  <si>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</si>
  <si>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</si>
  <si>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</si>
  <si>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</si>
  <si>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</si>
  <si>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</si>
  <si>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</si>
  <si>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</si>
  <si>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</si>
  <si>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</si>
  <si>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</si>
  <si>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</si>
  <si>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</si>
  <si>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</si>
  <si>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</si>
  <si>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</si>
  <si>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</si>
  <si>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</si>
  <si>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</si>
  <si>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</si>
  <si>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</si>
  <si>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</si>
  <si>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</si>
  <si>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</si>
  <si>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</si>
  <si>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</si>
  <si>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</si>
  <si>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</si>
  <si>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</si>
  <si>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</si>
  <si>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</si>
  <si>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</si>
  <si>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</si>
  <si>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</si>
  <si>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</si>
  <si>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</si>
  <si>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</si>
  <si>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</si>
  <si>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</si>
  <si>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</si>
  <si>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</si>
  <si>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</si>
  <si>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</si>
  <si>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</si>
  <si>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</si>
  <si>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</si>
  <si>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</si>
  <si>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</si>
  <si>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</si>
  <si>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</si>
  <si>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</si>
  <si>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</si>
  <si>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</si>
  <si>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</si>
  <si>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</si>
  <si>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</si>
  <si>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</si>
  <si>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</si>
  <si>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</si>
  <si>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</si>
  <si>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</si>
  <si>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</si>
  <si>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</si>
  <si>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</si>
  <si>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</si>
  <si>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</si>
  <si>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</si>
  <si>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</si>
  <si>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</si>
  <si>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</si>
  <si>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</si>
  <si>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</si>
  <si>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</si>
  <si>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</si>
  <si>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</si>
  <si>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</si>
  <si>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</si>
  <si>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</si>
  <si>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</si>
  <si>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</si>
  <si>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</si>
  <si>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</si>
  <si>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</si>
  <si>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</si>
  <si>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</si>
  <si>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</si>
  <si>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</si>
  <si>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</si>
  <si>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</si>
  <si>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</si>
  <si>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</si>
  <si>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</si>
  <si>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</si>
  <si>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</si>
  <si>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</si>
  <si>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</si>
  <si>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</si>
  <si>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</si>
  <si>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</si>
  <si>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</si>
  <si>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</si>
  <si>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</si>
  <si>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</si>
  <si>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</si>
  <si>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</si>
  <si>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</si>
  <si>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</si>
  <si>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</si>
  <si>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</si>
  <si>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</si>
  <si>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</si>
  <si>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</si>
  <si>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</si>
  <si>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</si>
  <si>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</si>
  <si>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</si>
  <si>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</si>
  <si>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</si>
  <si>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</si>
  <si>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</si>
  <si>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</si>
  <si>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</si>
  <si>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</si>
  <si>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</si>
  <si>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</si>
  <si>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</si>
  <si>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</si>
  <si>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</si>
  <si>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</si>
  <si>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</si>
  <si>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</si>
  <si>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</si>
  <si>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</si>
  <si>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</si>
  <si>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</si>
  <si>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</si>
  <si>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</si>
  <si>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</si>
  <si>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</si>
  <si>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</si>
  <si>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</si>
  <si>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</si>
  <si>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</si>
  <si>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</si>
  <si>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</si>
  <si>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</si>
  <si>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</si>
  <si>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</si>
  <si>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</si>
  <si>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</si>
  <si>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</si>
  <si>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</si>
  <si>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</si>
  <si>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</si>
  <si>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</si>
  <si>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</si>
  <si>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</si>
  <si>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</si>
  <si>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</si>
  <si>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</si>
  <si>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</si>
  <si>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</si>
  <si>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</si>
  <si>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</si>
  <si>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</si>
  <si>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</si>
  <si>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</si>
  <si>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</si>
  <si>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</si>
  <si>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</si>
  <si>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</si>
  <si>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</si>
  <si>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</si>
  <si>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</si>
  <si>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</si>
  <si>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</si>
  <si>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</si>
  <si>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</si>
  <si>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</si>
  <si>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</si>
  <si>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</si>
  <si>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</si>
  <si>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</si>
  <si>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</si>
  <si>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</si>
  <si>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</si>
  <si>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</si>
  <si>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</si>
  <si>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</si>
  <si>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</si>
  <si>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</si>
  <si>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</si>
  <si>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</si>
  <si>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</si>
  <si>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</si>
  <si>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</si>
  <si>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</si>
  <si>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</si>
  <si>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</si>
  <si>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</si>
  <si>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</si>
  <si>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</si>
  <si>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</si>
  <si>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</si>
  <si>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</si>
  <si>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</si>
  <si>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</si>
  <si>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</si>
  <si>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</si>
  <si>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</si>
  <si>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</si>
  <si>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</si>
  <si>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</si>
  <si>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</si>
  <si>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</si>
  <si>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</si>
  <si>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</si>
  <si>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</si>
  <si>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</si>
  <si>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</si>
  <si>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</si>
  <si>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</si>
  <si>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</si>
  <si>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</si>
  <si>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</si>
  <si>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</si>
  <si>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</si>
  <si>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</si>
  <si>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</si>
  <si>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</si>
  <si>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</si>
  <si>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</si>
  <si>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</si>
  <si>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</si>
  <si>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</si>
  <si>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</si>
  <si>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</si>
  <si>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</si>
  <si>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</si>
  <si>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</si>
  <si>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</si>
  <si>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</si>
  <si>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</si>
  <si>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</si>
  <si>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</si>
  <si>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</si>
  <si>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</si>
  <si>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</si>
  <si>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</si>
  <si>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</si>
  <si>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</si>
  <si>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</si>
  <si>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</si>
  <si>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</si>
  <si>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</si>
  <si>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</si>
  <si>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</si>
  <si>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</si>
  <si>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</si>
  <si>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</si>
  <si>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</si>
  <si>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</si>
  <si>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</si>
  <si>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</si>
  <si>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</si>
  <si>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</si>
  <si>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</si>
  <si>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</si>
  <si>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</si>
  <si>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</si>
  <si>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</si>
  <si>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</si>
  <si>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</si>
  <si>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</si>
  <si>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</si>
  <si>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</si>
  <si>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</si>
  <si>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</si>
  <si>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</si>
  <si>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</si>
  <si>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</si>
  <si>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</si>
  <si>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</si>
  <si>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</si>
  <si>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</si>
  <si>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</si>
  <si>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</si>
  <si>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</si>
  <si>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</si>
  <si>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</si>
  <si>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</si>
  <si>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</si>
  <si>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</si>
  <si>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</si>
  <si>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</si>
  <si>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</si>
  <si>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</si>
  <si>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</si>
  <si>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</si>
  <si>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</si>
  <si>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</si>
  <si>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</si>
  <si>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</si>
  <si>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</si>
  <si>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</si>
  <si>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</si>
  <si>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</si>
  <si>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</si>
  <si>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</si>
  <si>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</si>
  <si>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</si>
  <si>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</si>
  <si>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</si>
  <si>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</si>
  <si>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</si>
  <si>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</si>
  <si>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</si>
  <si>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</si>
  <si>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</si>
  <si>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</si>
  <si>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</si>
  <si>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</si>
  <si>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</si>
  <si>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</si>
  <si>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</si>
  <si>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</si>
  <si>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</si>
  <si>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</si>
  <si>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</si>
  <si>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</si>
  <si>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</si>
  <si>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</si>
  <si>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</si>
  <si>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</si>
  <si>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</si>
  <si>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</si>
  <si>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</si>
  <si>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</si>
  <si>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</si>
  <si>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</si>
  <si>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</si>
  <si>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</si>
  <si>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</si>
  <si>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</si>
  <si>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</si>
  <si>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</si>
  <si>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</si>
  <si>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</si>
  <si>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</si>
  <si>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</si>
  <si>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</si>
  <si>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</si>
  <si>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</si>
  <si>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</si>
  <si>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</si>
  <si>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</si>
  <si>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</si>
  <si>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</si>
  <si>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</si>
  <si>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</si>
  <si>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</si>
  <si>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</si>
  <si>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</si>
  <si>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</si>
  <si>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</si>
  <si>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</si>
  <si>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</si>
  <si>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</si>
  <si>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</si>
  <si>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</si>
  <si>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</si>
  <si>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</si>
  <si>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</si>
  <si>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</si>
  <si>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</si>
  <si>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</si>
  <si>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</si>
  <si>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</si>
  <si>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</si>
  <si>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</si>
  <si>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</si>
  <si>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</si>
  <si>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</si>
  <si>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</si>
  <si>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</si>
  <si>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</si>
  <si>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</si>
  <si>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</si>
  <si>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</si>
  <si>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</si>
  <si>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</si>
  <si>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</si>
  <si>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</si>
  <si>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</si>
  <si>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</si>
  <si>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</si>
  <si>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</si>
  <si>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</si>
  <si>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</si>
  <si>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</si>
  <si>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</si>
  <si>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</si>
  <si>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</si>
  <si>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</si>
  <si>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</si>
  <si>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</si>
  <si>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</si>
  <si>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</si>
  <si>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</si>
  <si>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</si>
  <si>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</si>
  <si>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</si>
  <si>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</si>
  <si>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</si>
  <si>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</si>
  <si>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</si>
  <si>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</si>
  <si>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</si>
  <si>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</si>
  <si>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</si>
  <si>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</si>
  <si>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</si>
  <si>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</si>
  <si>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</si>
  <si>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</si>
  <si>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</si>
  <si>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</si>
  <si>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</si>
  <si>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</si>
  <si>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</si>
  <si>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</si>
  <si>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</si>
  <si>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</si>
  <si>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</si>
  <si>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</si>
  <si>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</si>
  <si>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</si>
  <si>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</si>
  <si>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</si>
  <si>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</si>
  <si>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</si>
  <si>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</si>
  <si>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</si>
  <si>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</si>
  <si>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</si>
  <si>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</si>
  <si>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</si>
  <si>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</si>
  <si>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</si>
  <si>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</si>
  <si>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</si>
  <si>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</si>
  <si>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</si>
  <si>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</si>
  <si>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</si>
  <si>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</si>
  <si>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</si>
  <si>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</si>
  <si>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</si>
  <si>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</si>
  <si>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</si>
  <si>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</si>
  <si>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</si>
  <si>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</si>
  <si>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</si>
  <si>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</si>
  <si>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</si>
  <si>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</si>
  <si>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</si>
  <si>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</si>
  <si>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</si>
  <si>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</si>
  <si>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</si>
  <si>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</si>
  <si>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</si>
  <si>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</si>
  <si>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</si>
  <si>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</si>
  <si>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</si>
  <si>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</si>
  <si>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</si>
  <si>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</si>
  <si>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</si>
  <si>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</si>
  <si>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</si>
  <si>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</si>
  <si>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</si>
  <si>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</si>
  <si>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</si>
  <si>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</si>
  <si>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</si>
  <si>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</si>
  <si>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</si>
  <si>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</si>
  <si>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</si>
  <si>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</si>
  <si>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</si>
  <si>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</si>
  <si>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</si>
  <si>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</si>
  <si>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</si>
  <si>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</si>
  <si>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</si>
  <si>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</si>
  <si>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</si>
  <si>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</si>
  <si>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</si>
  <si>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</si>
  <si>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</si>
  <si>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</si>
  <si>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</si>
  <si>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</si>
  <si>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</si>
  <si>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</si>
  <si>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</si>
  <si>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</si>
  <si>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</si>
  <si>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</si>
  <si>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</si>
  <si>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</si>
  <si>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</si>
  <si>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</si>
  <si>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</si>
  <si>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</si>
  <si>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</si>
  <si>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</si>
  <si>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</si>
  <si>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</si>
  <si>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</si>
  <si>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</si>
  <si>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</si>
  <si>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</si>
  <si>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</si>
  <si>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</si>
  <si>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</si>
  <si>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</si>
  <si>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</si>
  <si>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</si>
  <si>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</si>
  <si>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</si>
  <si>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</si>
  <si>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</si>
  <si>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</si>
  <si>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</si>
  <si>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</si>
  <si>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</si>
  <si>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</si>
  <si>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</si>
  <si>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</si>
  <si>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</si>
  <si>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</si>
  <si>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</si>
  <si>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</si>
  <si>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</si>
  <si>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</si>
  <si>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</si>
  <si>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</si>
  <si>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</si>
  <si>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</si>
  <si>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</si>
  <si>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</si>
  <si>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</si>
  <si>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</si>
  <si>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</si>
  <si>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</si>
  <si>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</si>
  <si>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</si>
  <si>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</si>
  <si>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</si>
  <si>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</si>
  <si>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</si>
  <si>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</si>
  <si>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</si>
  <si>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</si>
  <si>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</si>
  <si>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</si>
  <si>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</si>
  <si>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</si>
  <si>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</si>
  <si>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</si>
  <si>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</si>
  <si>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</si>
  <si>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</si>
  <si>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</si>
  <si>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</si>
  <si>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</si>
  <si>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</si>
  <si>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</si>
  <si>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</si>
  <si>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</si>
  <si>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</si>
  <si>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</si>
  <si>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</si>
  <si>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</si>
  <si>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</si>
  <si>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</si>
  <si>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</si>
  <si>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</si>
  <si>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</si>
  <si>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</si>
  <si>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</si>
  <si>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</si>
  <si>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</si>
  <si>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</si>
  <si>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</si>
  <si>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</si>
  <si>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</si>
  <si>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</si>
  <si>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</si>
  <si>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</si>
  <si>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</si>
  <si>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</si>
  <si>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</si>
  <si>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</si>
  <si>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</si>
  <si>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</si>
  <si>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</si>
  <si>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</si>
  <si>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</si>
  <si>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</si>
  <si>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</si>
  <si>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</si>
  <si>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</si>
  <si>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</si>
  <si>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</si>
  <si>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</si>
  <si>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</si>
  <si>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</si>
  <si>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</si>
  <si>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</si>
  <si>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</si>
  <si>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</si>
  <si>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</si>
  <si>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</si>
  <si>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</si>
  <si>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</si>
  <si>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</si>
  <si>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</si>
  <si>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</si>
  <si>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</si>
  <si>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</si>
  <si>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</si>
  <si>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</si>
  <si>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</si>
  <si>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</si>
  <si>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</si>
  <si>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</si>
  <si>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</si>
  <si>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</si>
  <si>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</si>
  <si>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</si>
  <si>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</si>
  <si>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</si>
  <si>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</si>
  <si>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</si>
  <si>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</si>
  <si>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</si>
  <si>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</si>
  <si>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</si>
  <si>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</si>
  <si>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</si>
  <si>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</si>
  <si>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</si>
  <si>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</si>
  <si>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</si>
  <si>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</si>
  <si>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</si>
  <si>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</si>
  <si>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</si>
  <si>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</si>
  <si>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</si>
  <si>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</si>
  <si>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</si>
  <si>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</si>
  <si>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</si>
  <si>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</si>
  <si>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</si>
  <si>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</si>
  <si>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</si>
  <si>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</si>
  <si>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</si>
  <si>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</si>
  <si>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</si>
  <si>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</si>
  <si>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</si>
  <si>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</si>
  <si>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</si>
  <si>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</si>
  <si>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</si>
  <si>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</si>
  <si>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</si>
  <si>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</si>
  <si>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</si>
  <si>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</si>
  <si>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</si>
  <si>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</si>
  <si>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</si>
  <si>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</si>
  <si>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</si>
  <si>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</si>
  <si>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</si>
  <si>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</si>
  <si>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</si>
  <si>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</si>
  <si>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</si>
  <si>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</si>
  <si>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</si>
  <si>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</si>
  <si>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</si>
  <si>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</si>
  <si>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</si>
  <si>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</si>
  <si>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</si>
  <si>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</si>
  <si>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</si>
  <si>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</si>
  <si>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</si>
  <si>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</si>
  <si>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</si>
  <si>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</si>
  <si>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</si>
  <si>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</si>
  <si>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</si>
  <si>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</si>
  <si>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</si>
  <si>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</si>
  <si>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</si>
  <si>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</si>
  <si>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</si>
  <si>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</si>
  <si>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</si>
  <si>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</si>
  <si>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</si>
  <si>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</si>
  <si>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</si>
  <si>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</si>
  <si>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</si>
  <si>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</si>
  <si>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</si>
  <si>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</si>
  <si>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</si>
  <si>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</si>
  <si>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</si>
  <si>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</si>
  <si>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</si>
  <si>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</si>
  <si>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</si>
  <si>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</si>
  <si>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</si>
  <si>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</si>
  <si>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</si>
  <si>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</si>
  <si>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</si>
  <si>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</si>
  <si>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</si>
  <si>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</si>
  <si>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</si>
  <si>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</si>
  <si>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</si>
  <si>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</si>
  <si>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</si>
  <si>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</si>
  <si>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</si>
  <si>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</si>
  <si>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</si>
  <si>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</si>
  <si>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</si>
  <si>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</si>
  <si>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</si>
  <si>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</si>
  <si>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</si>
  <si>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</si>
  <si>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</si>
  <si>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</si>
  <si>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</si>
  <si>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</si>
  <si>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</si>
  <si>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</si>
  <si>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</si>
  <si>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</si>
  <si>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</si>
  <si>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</si>
  <si>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</si>
  <si>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</si>
  <si>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</si>
  <si>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</si>
  <si>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</si>
  <si>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</si>
  <si>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</si>
  <si>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</si>
  <si>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</si>
  <si>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</si>
  <si>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</si>
  <si>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</si>
  <si>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</si>
  <si>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</si>
  <si>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</si>
  <si>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</si>
  <si>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</si>
  <si>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</si>
  <si>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</si>
  <si>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</si>
  <si>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</si>
  <si>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</si>
  <si>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</si>
  <si>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</si>
  <si>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</si>
  <si>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</si>
  <si>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</si>
  <si>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</si>
  <si>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</si>
  <si>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</si>
  <si>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</si>
  <si>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</si>
  <si>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</si>
  <si>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</si>
  <si>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</si>
  <si>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</si>
  <si>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</si>
  <si>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</si>
  <si>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</si>
  <si>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</si>
  <si>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</si>
  <si>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</si>
  <si>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</si>
  <si>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</si>
  <si>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</si>
  <si>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</si>
  <si>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</si>
  <si>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</si>
  <si>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</si>
  <si>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</si>
  <si>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</si>
  <si>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</si>
  <si>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</si>
  <si>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</si>
  <si>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</si>
  <si>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</si>
  <si>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</si>
  <si>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</si>
  <si>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</si>
  <si>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</si>
  <si>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</si>
  <si>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</si>
  <si>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</si>
  <si>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</si>
  <si>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</si>
  <si>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</si>
  <si>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</si>
  <si>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</si>
  <si>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</si>
  <si>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</si>
  <si>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</si>
  <si>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</si>
  <si>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</si>
  <si>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</si>
  <si>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</si>
  <si>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</si>
  <si>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</si>
  <si>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</si>
  <si>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</si>
  <si>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</si>
  <si>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</si>
  <si>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</si>
  <si>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</si>
  <si>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</si>
  <si>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</si>
  <si>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</si>
  <si>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</si>
  <si>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</si>
  <si>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</si>
  <si>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</si>
  <si>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</si>
  <si>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</si>
  <si>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</si>
  <si>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</si>
  <si>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</si>
  <si>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</si>
  <si>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</si>
  <si>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</si>
  <si>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</si>
  <si>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</si>
  <si>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</si>
  <si>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</si>
  <si>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</si>
  <si>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</si>
  <si>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</si>
  <si>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</si>
  <si>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</si>
  <si>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</si>
  <si>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</si>
  <si>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</si>
  <si>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</si>
  <si>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</si>
  <si>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</si>
  <si>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</si>
  <si>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</si>
  <si>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</si>
  <si>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</si>
  <si>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</si>
  <si>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</si>
  <si>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</si>
  <si>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</si>
  <si>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</si>
  <si>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</si>
  <si>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</si>
  <si>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</si>
  <si>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</si>
  <si>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</si>
  <si>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</si>
  <si>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</si>
  <si>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</si>
  <si>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</si>
  <si>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</si>
  <si>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</si>
  <si>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</si>
  <si>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</si>
  <si>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</si>
  <si>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</si>
  <si>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</si>
  <si>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</si>
  <si>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</si>
  <si>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</si>
  <si>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</si>
  <si>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</si>
  <si>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</si>
  <si>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</si>
  <si>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</si>
  <si>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</si>
  <si>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</si>
  <si>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</si>
  <si>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</si>
  <si>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</si>
  <si>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</si>
  <si>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</si>
  <si>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</si>
  <si>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</si>
  <si>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</si>
  <si>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</si>
  <si>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</si>
  <si>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</si>
  <si>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</si>
  <si>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</si>
  <si>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</si>
  <si>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</si>
  <si>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</si>
  <si>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</si>
  <si>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</si>
  <si>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</si>
  <si>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</si>
  <si>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</si>
  <si>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</si>
  <si>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</si>
  <si>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</si>
  <si>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</si>
  <si>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</si>
  <si>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</si>
  <si>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</si>
  <si>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</si>
  <si>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</si>
  <si>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</si>
  <si>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</si>
  <si>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</si>
  <si>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</si>
  <si>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</si>
  <si>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</si>
  <si>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</si>
  <si>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</si>
  <si>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</si>
  <si>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</si>
  <si>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</si>
  <si>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</si>
  <si>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</si>
  <si>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</si>
  <si>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</si>
  <si>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</si>
  <si>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</si>
  <si>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</si>
  <si>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</si>
  <si>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</si>
  <si>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</si>
  <si>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</si>
  <si>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</si>
  <si>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</si>
  <si>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</si>
  <si>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</si>
  <si>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</si>
  <si>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</si>
  <si>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</si>
  <si>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</si>
  <si>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</si>
  <si>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</si>
  <si>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</si>
  <si>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</si>
  <si>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</si>
  <si>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</si>
  <si>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</si>
  <si>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</si>
  <si>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</si>
  <si>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</si>
  <si>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</si>
  <si>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</si>
  <si>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</si>
  <si>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</si>
  <si>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</si>
  <si>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</si>
  <si>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</si>
  <si>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</si>
  <si>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</si>
  <si>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</si>
  <si>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</si>
  <si>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</si>
  <si>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</si>
  <si>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</si>
  <si>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</si>
  <si>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</si>
  <si>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</si>
  <si>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</si>
  <si>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</si>
  <si>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</si>
  <si>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</si>
  <si>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</si>
  <si>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</si>
  <si>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</si>
  <si>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</si>
  <si>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</si>
  <si>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</si>
  <si>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</si>
  <si>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</si>
  <si>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</si>
  <si>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</si>
  <si>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</si>
  <si>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</si>
  <si>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</si>
  <si>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</si>
  <si>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</si>
  <si>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</si>
  <si>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</si>
  <si>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</si>
  <si>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</si>
  <si>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</si>
  <si>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</si>
  <si>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</si>
  <si>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</si>
  <si>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</si>
  <si>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</si>
  <si>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</si>
  <si>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</si>
  <si>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</si>
  <si>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</si>
  <si>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</si>
  <si>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</si>
  <si>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</si>
  <si>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</si>
  <si>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</si>
  <si>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</si>
  <si>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</si>
  <si>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</si>
  <si>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</si>
  <si>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</si>
  <si>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</si>
  <si>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</si>
  <si>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</si>
  <si>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</si>
  <si>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</si>
  <si>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</si>
  <si>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</si>
  <si>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</si>
  <si>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</si>
  <si>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</si>
  <si>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</si>
  <si>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</si>
  <si>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</si>
  <si>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</si>
  <si>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</si>
  <si>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</si>
  <si>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</si>
  <si>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</si>
  <si>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</si>
  <si>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</si>
  <si>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</si>
  <si>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</si>
  <si>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</si>
  <si>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</si>
  <si>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</si>
  <si>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</si>
  <si>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</si>
  <si>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</si>
  <si>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</si>
  <si>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</si>
  <si>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</si>
  <si>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</si>
  <si>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</si>
  <si>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</si>
  <si>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</si>
  <si>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</si>
  <si>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</si>
  <si>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</si>
  <si>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</si>
  <si>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</si>
  <si>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</si>
  <si>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</si>
  <si>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</si>
  <si>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</si>
  <si>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</si>
  <si>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</si>
  <si>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</si>
  <si>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</si>
  <si>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</si>
  <si>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</si>
  <si>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</si>
  <si>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</si>
  <si>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</si>
  <si>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</si>
  <si>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</si>
  <si>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</si>
  <si>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</si>
  <si>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</si>
  <si>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</si>
  <si>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</si>
  <si>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</si>
  <si>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</si>
  <si>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</si>
  <si>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</si>
  <si>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</si>
  <si>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</si>
  <si>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</si>
  <si>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</si>
  <si>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</si>
  <si>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</si>
  <si>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</si>
  <si>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</si>
  <si>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</si>
  <si>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</si>
  <si>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</si>
  <si>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</si>
  <si>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</si>
  <si>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</si>
  <si>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</si>
  <si>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</si>
  <si>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</si>
  <si>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</si>
  <si>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</si>
  <si>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</si>
  <si>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</si>
  <si>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</si>
  <si>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</si>
  <si>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</si>
  <si>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</si>
  <si>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</si>
  <si>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</si>
  <si>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</si>
  <si>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</si>
  <si>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</si>
  <si>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</si>
  <si>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</si>
  <si>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</si>
  <si>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</si>
  <si>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</si>
  <si>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</si>
  <si>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</si>
  <si>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</si>
  <si>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</si>
  <si>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</si>
  <si>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</si>
  <si>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</si>
  <si>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</si>
  <si>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</si>
  <si>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</si>
  <si>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</si>
  <si>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</si>
  <si>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</si>
  <si>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</si>
  <si>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</si>
  <si>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</si>
  <si>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</si>
  <si>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</si>
  <si>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</si>
  <si>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</si>
  <si>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</si>
  <si>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</si>
  <si>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</si>
  <si>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</si>
  <si>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</si>
  <si>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</si>
  <si>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</si>
  <si>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</si>
  <si>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</si>
  <si>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</si>
  <si>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</si>
  <si>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</si>
  <si>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</si>
  <si>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</si>
  <si>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</si>
  <si>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</si>
  <si>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</si>
  <si>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</si>
  <si>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</si>
  <si>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</si>
  <si>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</si>
  <si>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</si>
  <si>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</si>
  <si>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</si>
  <si>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</si>
  <si>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</si>
  <si>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</si>
  <si>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</si>
  <si>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</si>
  <si>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</si>
  <si>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</si>
  <si>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</si>
  <si>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</si>
  <si>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</si>
  <si>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</si>
  <si>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</si>
  <si>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</si>
  <si>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</si>
  <si>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</si>
  <si>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</si>
  <si>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</si>
  <si>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</si>
  <si>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</si>
  <si>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</si>
  <si>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</si>
  <si>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</si>
  <si>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</si>
  <si>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</si>
  <si>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</si>
  <si>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</si>
  <si>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</si>
  <si>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</si>
  <si>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</si>
  <si>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</si>
  <si>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</si>
  <si>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</si>
  <si>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</si>
  <si>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</si>
  <si>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</si>
  <si>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</si>
  <si>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</si>
  <si>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</si>
  <si>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</si>
  <si>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</si>
  <si>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</si>
  <si>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</si>
  <si>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</si>
  <si>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</si>
  <si>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</si>
  <si>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</si>
  <si>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</si>
  <si>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</si>
  <si>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</si>
  <si>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</si>
  <si>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</si>
  <si>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</si>
  <si>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</si>
  <si>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</si>
  <si>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</si>
  <si>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</si>
  <si>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</si>
  <si>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</si>
  <si>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</si>
  <si>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</si>
  <si>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</si>
  <si>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</si>
  <si>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</si>
  <si>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</si>
  <si>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</si>
  <si>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</si>
  <si>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</si>
  <si>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</si>
  <si>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</si>
  <si>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</si>
  <si>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</si>
  <si>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</si>
  <si>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</si>
  <si>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</si>
  <si>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</si>
  <si>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</si>
  <si>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</si>
  <si>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</si>
  <si>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</si>
  <si>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</si>
  <si>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</si>
  <si>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</si>
  <si>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</si>
  <si>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</si>
  <si>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</si>
  <si>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</si>
  <si>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</si>
  <si>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</si>
  <si>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</si>
  <si>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</si>
  <si>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</si>
  <si>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</si>
  <si>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</si>
  <si>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</si>
  <si>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</si>
  <si>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</si>
  <si>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</si>
  <si>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</si>
  <si>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</si>
  <si>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</si>
  <si>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</si>
  <si>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</si>
  <si>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</si>
  <si>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</si>
  <si>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</si>
  <si>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</si>
  <si>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</si>
  <si>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</si>
  <si>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</si>
  <si>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</si>
  <si>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</si>
  <si>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</si>
  <si>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</si>
  <si>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</si>
  <si>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</si>
  <si>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</si>
  <si>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</si>
  <si>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</si>
  <si>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</si>
  <si>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</si>
  <si>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</si>
  <si>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</si>
  <si>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</si>
  <si>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</si>
  <si>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</si>
  <si>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</si>
  <si>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</si>
  <si>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</si>
  <si>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</si>
  <si>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</si>
  <si>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</si>
  <si>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</si>
  <si>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</si>
  <si>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</si>
  <si>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</si>
  <si>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</si>
  <si>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</si>
  <si>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</si>
  <si>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</si>
  <si>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</si>
  <si>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</si>
  <si>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</si>
  <si>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</si>
  <si>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</si>
  <si>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</si>
  <si>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</si>
  <si>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</si>
  <si>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</si>
  <si>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</si>
  <si>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</si>
  <si>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</si>
  <si>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</si>
  <si>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</si>
  <si>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</si>
  <si>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</si>
  <si>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</si>
  <si>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</si>
  <si>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</si>
  <si>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</si>
  <si>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</si>
  <si>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</si>
  <si>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</si>
  <si>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</si>
  <si>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</si>
  <si>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</si>
  <si>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</si>
  <si>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</si>
  <si>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</si>
  <si>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</si>
  <si>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</si>
  <si>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</si>
  <si>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</si>
  <si>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</si>
  <si>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</si>
  <si>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</si>
  <si>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</si>
  <si>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</si>
  <si>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</si>
  <si>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</si>
  <si>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</si>
  <si>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</si>
  <si>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</si>
  <si>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</si>
  <si>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</si>
  <si>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</si>
  <si>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</si>
  <si>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</si>
  <si>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</si>
  <si>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</si>
  <si>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</si>
  <si>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</si>
  <si>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</si>
  <si>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</si>
  <si>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</si>
  <si>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</si>
  <si>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</si>
  <si>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</si>
  <si>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</si>
  <si>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</si>
  <si>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</si>
  <si>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</si>
  <si>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</si>
  <si>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</si>
  <si>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</si>
  <si>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</si>
  <si>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</si>
  <si>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</si>
  <si>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</si>
  <si>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</si>
  <si>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</si>
  <si>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</si>
  <si>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</si>
  <si>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</si>
  <si>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</si>
  <si>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</si>
  <si>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</si>
  <si>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</si>
  <si>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</si>
  <si>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</si>
  <si>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</si>
  <si>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</si>
  <si>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</si>
  <si>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</si>
  <si>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</si>
  <si>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</si>
  <si>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</si>
  <si>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</si>
  <si>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</si>
  <si>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</si>
  <si>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</si>
  <si>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</si>
  <si>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</si>
  <si>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</si>
  <si>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</si>
  <si>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</si>
  <si>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</si>
  <si>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</si>
  <si>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</si>
  <si>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</si>
  <si>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</si>
  <si>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</si>
  <si>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</si>
  <si>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</si>
  <si>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</si>
  <si>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</si>
  <si>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</si>
  <si>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</si>
  <si>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</si>
  <si>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</si>
  <si>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</si>
  <si>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</si>
  <si>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</si>
  <si>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</si>
  <si>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</si>
  <si>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</si>
  <si>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</si>
  <si>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</si>
  <si>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</si>
  <si>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</si>
  <si>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</si>
  <si>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</si>
  <si>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</si>
  <si>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</si>
  <si>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</si>
  <si>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</si>
  <si>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</si>
  <si>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</si>
  <si>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</si>
  <si>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</si>
  <si>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</si>
  <si>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</si>
  <si>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</si>
  <si>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</si>
  <si>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</si>
  <si>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</si>
  <si>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</si>
  <si>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</si>
  <si>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</si>
  <si>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</si>
  <si>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</si>
  <si>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</si>
  <si>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</si>
  <si>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</si>
  <si>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</si>
  <si>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</si>
  <si>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</si>
  <si>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</si>
  <si>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</si>
  <si>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</si>
  <si>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</si>
  <si>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</si>
  <si>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</si>
  <si>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</si>
  <si>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</si>
  <si>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</si>
  <si>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</si>
  <si>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</si>
  <si>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</si>
  <si>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</si>
  <si>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</si>
  <si>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</si>
  <si>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</si>
  <si>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</si>
  <si>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</si>
  <si>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</si>
  <si>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</si>
  <si>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</si>
  <si>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</si>
  <si>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</si>
  <si>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</si>
  <si>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</si>
  <si>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</si>
  <si>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</si>
  <si>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</si>
  <si>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</si>
  <si>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</si>
  <si>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</si>
  <si>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</si>
  <si>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</si>
  <si>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</si>
  <si>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</si>
  <si>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</si>
  <si>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</si>
  <si>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</si>
  <si>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</si>
  <si>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</si>
  <si>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</si>
  <si>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</si>
  <si>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</si>
  <si>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</si>
  <si>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</si>
  <si>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</si>
  <si>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</si>
  <si>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</si>
  <si>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</si>
  <si>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</si>
  <si>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</si>
  <si>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</si>
  <si>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</si>
  <si>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</si>
  <si>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</si>
  <si>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</si>
  <si>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</si>
  <si>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</si>
  <si>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</si>
  <si>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</si>
  <si>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</si>
  <si>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</si>
  <si>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</si>
  <si>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</si>
  <si>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</si>
  <si>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</si>
  <si>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</si>
  <si>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</si>
  <si>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</si>
  <si>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</si>
  <si>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</si>
  <si>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</si>
  <si>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</si>
  <si>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</si>
  <si>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</si>
  <si>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</si>
  <si>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</si>
  <si>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</si>
  <si>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</si>
  <si>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</si>
  <si>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</si>
  <si>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</si>
  <si>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</si>
  <si>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</si>
  <si>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</si>
  <si>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</si>
  <si>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</si>
  <si>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</si>
  <si>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</si>
  <si>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</si>
  <si>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</si>
  <si>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</si>
  <si>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</si>
  <si>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</si>
  <si>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</si>
  <si>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</si>
  <si>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</si>
  <si>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</si>
  <si>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</si>
  <si>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</si>
  <si>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</si>
  <si>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</si>
  <si>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</si>
  <si>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</si>
  <si>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</si>
  <si>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</si>
  <si>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</si>
  <si>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</si>
  <si>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</si>
  <si>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</si>
  <si>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</si>
  <si>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</si>
  <si>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</si>
  <si>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</si>
  <si>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</si>
  <si>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</si>
  <si>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</si>
  <si>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</si>
  <si>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</si>
  <si>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</si>
  <si>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</si>
  <si>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</si>
  <si>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</si>
  <si>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</si>
  <si>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</si>
  <si>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</si>
  <si>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</si>
  <si>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</si>
  <si>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</si>
  <si>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</si>
  <si>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</si>
  <si>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</si>
  <si>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</si>
  <si>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</si>
  <si>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</si>
  <si>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</si>
  <si>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</si>
  <si>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</si>
  <si>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</si>
  <si>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</si>
  <si>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</si>
  <si>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</si>
  <si>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</si>
  <si>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</si>
  <si>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</si>
  <si>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</si>
  <si>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</si>
  <si>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</si>
  <si>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</si>
  <si>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</si>
  <si>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</si>
  <si>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</si>
  <si>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</si>
  <si>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</si>
  <si>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</si>
  <si>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</si>
  <si>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</si>
  <si>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</si>
  <si>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</si>
  <si>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</si>
  <si>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</si>
  <si>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</si>
  <si>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</si>
  <si>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</si>
  <si>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</si>
  <si>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</si>
  <si>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</si>
  <si>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</si>
  <si>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</si>
  <si>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</si>
  <si>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</si>
  <si>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</si>
  <si>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</si>
  <si>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</si>
  <si>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</si>
  <si>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</si>
  <si>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</si>
  <si>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</si>
  <si>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</si>
  <si>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</si>
  <si>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</si>
  <si>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</si>
  <si>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</si>
  <si>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</si>
  <si>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</si>
  <si>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</si>
  <si>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</si>
  <si>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</si>
  <si>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</si>
  <si>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</si>
  <si>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</si>
  <si>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</si>
  <si>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</si>
  <si>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</si>
  <si>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</si>
  <si>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</si>
  <si>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</si>
  <si>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</si>
  <si>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</si>
  <si>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</si>
  <si>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</si>
  <si>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</si>
  <si>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</si>
  <si>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</si>
  <si>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</si>
  <si>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</si>
  <si>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</si>
  <si>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</si>
  <si>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</si>
  <si>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</si>
  <si>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</si>
  <si>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</si>
  <si>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</si>
  <si>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</si>
  <si>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</si>
  <si>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</si>
  <si>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</si>
  <si>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</si>
  <si>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</si>
  <si>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</si>
  <si>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</si>
  <si>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</si>
  <si>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</si>
  <si>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</si>
  <si>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</si>
  <si>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</si>
  <si>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</si>
  <si>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</si>
  <si>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</si>
  <si>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</si>
  <si>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</si>
  <si>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</si>
  <si>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</si>
  <si>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</si>
  <si>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</si>
  <si>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</si>
  <si>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</si>
  <si>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</si>
  <si>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</si>
  <si>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</si>
  <si>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</si>
  <si>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</si>
  <si>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</si>
  <si>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</si>
  <si>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</si>
  <si>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</si>
  <si>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</si>
  <si>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</si>
  <si>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</si>
  <si>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</si>
  <si>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</si>
  <si>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</si>
  <si>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</si>
  <si>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</si>
  <si>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</si>
  <si>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</si>
  <si>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</si>
  <si>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</si>
  <si>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</si>
  <si>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</si>
  <si>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</si>
  <si>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</si>
  <si>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</si>
  <si>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</si>
  <si>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</si>
  <si>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</si>
  <si>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</si>
  <si>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</si>
  <si>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</si>
  <si>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</si>
  <si>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</si>
  <si>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</si>
  <si>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</si>
  <si>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</si>
  <si>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</si>
  <si>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</si>
  <si>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</si>
  <si>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</si>
  <si>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</si>
  <si>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</si>
  <si>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</si>
  <si>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</si>
  <si>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</si>
  <si>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</si>
  <si>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</si>
  <si>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</si>
  <si>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</si>
  <si>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</si>
  <si>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</si>
  <si>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</si>
  <si>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</si>
  <si>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</si>
  <si>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</si>
  <si>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</si>
  <si>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</si>
  <si>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</si>
  <si>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</si>
  <si>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</si>
  <si>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</si>
  <si>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</si>
  <si>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</si>
  <si>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</si>
  <si>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</si>
  <si>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</si>
  <si>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</si>
  <si>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</si>
  <si>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</si>
  <si>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</si>
  <si>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</si>
  <si>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</si>
  <si>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</si>
  <si>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</si>
  <si>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</si>
  <si>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</si>
  <si>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</si>
  <si>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</si>
  <si>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</si>
  <si>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</si>
  <si>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</si>
  <si>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</si>
  <si>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</si>
  <si>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</si>
  <si>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</si>
  <si>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</si>
  <si>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</si>
  <si>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</si>
  <si>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</si>
  <si>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</si>
  <si>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</si>
  <si>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</si>
  <si>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</si>
  <si>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</si>
  <si>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</si>
  <si>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</si>
  <si>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</si>
  <si>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</si>
  <si>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</si>
  <si>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</si>
  <si>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</si>
  <si>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</si>
  <si>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</si>
  <si>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</si>
  <si>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</si>
  <si>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</si>
  <si>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</si>
  <si>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</si>
  <si>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</si>
  <si>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</si>
  <si>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</si>
  <si>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</si>
  <si>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</si>
  <si>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</si>
  <si>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</si>
  <si>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</si>
  <si>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</si>
  <si>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</si>
  <si>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</si>
  <si>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</si>
  <si>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</si>
  <si>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</si>
  <si>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</si>
  <si>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</si>
  <si>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</si>
  <si>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</si>
  <si>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</si>
  <si>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</si>
  <si>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</si>
  <si>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</si>
  <si>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</si>
  <si>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</si>
  <si>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</si>
  <si>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</si>
  <si>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</si>
  <si>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</si>
  <si>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</si>
  <si>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</si>
  <si>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</si>
  <si>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</si>
  <si>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</si>
  <si>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</si>
  <si>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</si>
  <si>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</si>
  <si>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</si>
  <si>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</si>
  <si>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</si>
  <si>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</si>
  <si>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</si>
  <si>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</si>
  <si>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</si>
  <si>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</si>
  <si>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</si>
  <si>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</si>
  <si>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</si>
  <si>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</si>
  <si>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</si>
  <si>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</si>
  <si>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</si>
  <si>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</si>
  <si>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</si>
  <si>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</si>
  <si>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</si>
  <si>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</si>
  <si>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</si>
  <si>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</si>
  <si>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</si>
  <si>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</si>
  <si>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</si>
  <si>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</si>
  <si>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</si>
  <si>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</si>
  <si>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</si>
  <si>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</si>
  <si>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</si>
  <si>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</si>
  <si>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</si>
  <si>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</si>
  <si>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</si>
  <si>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</si>
  <si>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</si>
  <si>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</si>
  <si>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</si>
  <si>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</si>
  <si>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</si>
  <si>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</si>
  <si>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</si>
  <si>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</si>
  <si>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</si>
  <si>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</si>
  <si>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</si>
  <si>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</si>
  <si>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</si>
  <si>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</si>
  <si>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</si>
  <si>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</si>
  <si>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</si>
  <si>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</si>
  <si>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</si>
  <si>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</si>
  <si>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</si>
  <si>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</si>
  <si>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</si>
  <si>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</si>
  <si>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</si>
  <si>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</si>
  <si>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</si>
  <si>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</si>
  <si>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</si>
  <si>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</si>
  <si>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</si>
  <si>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</si>
  <si>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</si>
  <si>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</si>
  <si>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</si>
  <si>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</si>
  <si>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</si>
  <si>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</si>
  <si>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</si>
  <si>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</si>
  <si>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</si>
  <si>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</si>
  <si>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</si>
  <si>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</si>
  <si>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</si>
  <si>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</si>
  <si>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</si>
  <si>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</si>
  <si>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</si>
  <si>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</si>
  <si>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</si>
  <si>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</si>
  <si>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</si>
  <si>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</si>
  <si>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</si>
  <si>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</si>
  <si>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</si>
  <si>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</si>
  <si>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</si>
  <si>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</si>
  <si>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</si>
  <si>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</si>
  <si>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</si>
  <si>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</si>
  <si>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</si>
  <si>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</si>
  <si>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</si>
  <si>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</si>
  <si>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</si>
  <si>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</si>
  <si>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</si>
  <si>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</si>
  <si>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</si>
  <si>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</si>
  <si>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</si>
  <si>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</si>
  <si>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</si>
  <si>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</si>
  <si>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</si>
  <si>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</si>
  <si>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</si>
  <si>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</si>
  <si>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</si>
  <si>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</si>
  <si>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</si>
  <si>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</si>
  <si>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</si>
  <si>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</si>
  <si>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</si>
  <si>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</si>
  <si>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</si>
  <si>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</si>
  <si>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</si>
  <si>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</si>
  <si>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</si>
  <si>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</si>
  <si>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</si>
  <si>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</si>
  <si>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</si>
  <si>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</si>
  <si>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</si>
  <si>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</si>
  <si>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</si>
  <si>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</si>
  <si>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</si>
  <si>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</si>
  <si>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</si>
  <si>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</si>
  <si>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</si>
  <si>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</si>
  <si>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</si>
  <si>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</si>
  <si>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</si>
  <si>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</si>
  <si>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</si>
  <si>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</si>
  <si>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</si>
  <si>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</si>
  <si>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</si>
  <si>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</si>
  <si>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</si>
  <si>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</si>
  <si>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</si>
  <si>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</si>
  <si>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</si>
  <si>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</si>
  <si>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</si>
  <si>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</si>
  <si>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</si>
  <si>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</si>
  <si>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</si>
  <si>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</si>
  <si>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</si>
  <si>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</si>
  <si>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</si>
  <si>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</si>
  <si>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</si>
  <si>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</si>
  <si>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</si>
  <si>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</si>
  <si>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</si>
  <si>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</si>
  <si>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</si>
  <si>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</si>
  <si>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</si>
  <si>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</si>
  <si>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</si>
  <si>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</si>
  <si>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</si>
  <si>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</si>
  <si>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</si>
  <si>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</si>
  <si>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</si>
  <si>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</si>
  <si>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</si>
  <si>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</si>
  <si>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</si>
  <si>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</si>
  <si>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</si>
  <si>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</si>
  <si>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</si>
  <si>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</si>
  <si>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</si>
  <si>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</si>
  <si>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</si>
  <si>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</si>
  <si>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</si>
  <si>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</si>
  <si>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</si>
  <si>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</si>
  <si>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</si>
  <si>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</si>
  <si>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</si>
  <si>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</si>
  <si>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</si>
  <si>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</si>
  <si>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</si>
  <si>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</si>
  <si>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</si>
  <si>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</si>
  <si>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</si>
  <si>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</si>
  <si>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</si>
  <si>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</si>
  <si>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</si>
  <si>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</si>
  <si>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</si>
  <si>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</si>
  <si>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</si>
  <si>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</si>
  <si>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</si>
  <si>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</si>
  <si>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</si>
  <si>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</si>
  <si>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</si>
  <si>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</si>
  <si>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</si>
  <si>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</si>
  <si>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</si>
  <si>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</si>
  <si>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</si>
  <si>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</si>
  <si>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</si>
  <si>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</si>
  <si>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</si>
  <si>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</si>
  <si>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</si>
  <si>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</si>
  <si>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</si>
  <si>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</si>
  <si>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</si>
  <si>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</si>
  <si>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</si>
  <si>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</si>
  <si>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</si>
  <si>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</si>
  <si>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</si>
  <si>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</si>
  <si>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</si>
  <si>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</si>
  <si>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</si>
  <si>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</si>
  <si>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</si>
  <si>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</si>
  <si>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</si>
  <si>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</si>
  <si>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</si>
  <si>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</si>
  <si>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</si>
  <si>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</si>
  <si>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</si>
  <si>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</si>
  <si>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</si>
  <si>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</si>
  <si>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</si>
  <si>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</si>
  <si>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</si>
  <si>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</si>
  <si>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</si>
  <si>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</si>
  <si>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</si>
  <si>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</si>
  <si>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</si>
  <si>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</si>
  <si>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</si>
  <si>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</si>
  <si>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</si>
  <si>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</si>
  <si>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</si>
  <si>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</si>
  <si>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</si>
  <si>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</si>
  <si>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</si>
  <si>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</si>
  <si>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</si>
  <si>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</si>
  <si>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</si>
  <si>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</si>
  <si>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</si>
  <si>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</si>
  <si>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</si>
  <si>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</si>
  <si>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</si>
  <si>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</si>
  <si>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</si>
  <si>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</si>
  <si>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</si>
  <si>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</si>
  <si>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</si>
  <si>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</si>
  <si>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</si>
  <si>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</si>
  <si>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</si>
  <si>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</si>
  <si>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</si>
  <si>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</si>
  <si>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</si>
  <si>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</si>
  <si>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</si>
  <si>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</si>
  <si>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</si>
  <si>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</si>
  <si>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</si>
  <si>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</si>
  <si>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</si>
  <si>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</si>
  <si>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</si>
  <si>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</si>
  <si>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</si>
  <si>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</si>
  <si>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</si>
  <si>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</si>
  <si>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</si>
  <si>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</si>
  <si>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</si>
  <si>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</si>
  <si>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</si>
  <si>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</si>
  <si>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</si>
  <si>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</si>
  <si>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</si>
  <si>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</si>
  <si>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</si>
  <si>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</si>
  <si>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</si>
  <si>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</si>
  <si>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</si>
  <si>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</si>
  <si>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</si>
  <si>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</si>
  <si>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</si>
  <si>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</si>
  <si>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</si>
  <si>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</si>
  <si>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</si>
  <si>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</si>
  <si>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</si>
  <si>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</si>
  <si>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</si>
  <si>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</si>
  <si>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</si>
  <si>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</si>
  <si>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</si>
  <si>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</si>
  <si>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</si>
  <si>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</si>
  <si>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</si>
  <si>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</si>
  <si>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</si>
  <si>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</si>
  <si>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</si>
  <si>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</si>
  <si>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</si>
  <si>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</si>
  <si>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</si>
  <si>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</si>
  <si>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</si>
  <si>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</si>
  <si>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</si>
  <si>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</si>
  <si>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</si>
  <si>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</si>
  <si>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</si>
  <si>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</si>
  <si>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</si>
  <si>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</si>
  <si>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</si>
  <si>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</si>
  <si>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</si>
  <si>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</si>
  <si>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</si>
  <si>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</si>
  <si>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</si>
  <si>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</si>
  <si>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</si>
  <si>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</si>
  <si>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</si>
  <si>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</si>
  <si>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</si>
  <si>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</si>
  <si>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</si>
  <si>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</si>
  <si>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</si>
  <si>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</si>
  <si>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</si>
  <si>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</si>
  <si>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</si>
  <si>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</si>
  <si>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</si>
  <si>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</si>
  <si>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</si>
  <si>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</si>
  <si>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</si>
  <si>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</si>
  <si>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</si>
  <si>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</si>
  <si>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</si>
  <si>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</si>
  <si>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</si>
  <si>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</si>
  <si>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</si>
  <si>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</si>
  <si>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</si>
  <si>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</si>
  <si>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</si>
  <si>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</si>
  <si>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</si>
  <si>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</si>
  <si>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</si>
  <si>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</si>
  <si>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</si>
  <si>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</si>
  <si>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</si>
  <si>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</si>
  <si>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</si>
  <si>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</si>
  <si>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</si>
  <si>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</si>
  <si>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</si>
  <si>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</si>
  <si>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</si>
  <si>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</si>
  <si>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</si>
  <si>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</si>
  <si>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</si>
  <si>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</si>
  <si>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</si>
  <si>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</si>
  <si>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</si>
  <si>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</si>
  <si>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</si>
  <si>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</si>
  <si>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</si>
  <si>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</si>
  <si>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</si>
  <si>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</si>
  <si>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</si>
  <si>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</si>
  <si>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</si>
  <si>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</si>
  <si>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</si>
  <si>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</si>
  <si>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</si>
  <si>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</si>
  <si>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</si>
  <si>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</si>
  <si>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</si>
  <si>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</si>
  <si>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</si>
  <si>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</si>
  <si>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</si>
  <si>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</si>
  <si>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</si>
  <si>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</si>
  <si>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</si>
  <si>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</si>
  <si>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</si>
  <si>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</si>
  <si>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</si>
  <si>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</si>
  <si>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</si>
  <si>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</si>
  <si>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</si>
  <si>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</si>
  <si>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</si>
  <si>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</si>
  <si>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</si>
  <si>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</si>
  <si>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</si>
  <si>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</si>
  <si>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</si>
  <si>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</si>
  <si>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</si>
  <si>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</si>
  <si>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</si>
  <si>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</si>
  <si>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</si>
  <si>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</si>
  <si>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</si>
  <si>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</si>
  <si>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</si>
  <si>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</si>
  <si>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</si>
  <si>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</si>
  <si>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</si>
  <si>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</si>
  <si>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</si>
  <si>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</si>
  <si>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</si>
  <si>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</si>
  <si>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</si>
  <si>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</si>
  <si>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</si>
  <si>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</si>
  <si>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</si>
  <si>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</si>
  <si>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</si>
  <si>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</si>
  <si>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</si>
  <si>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</si>
  <si>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</si>
  <si>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</si>
  <si>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</si>
  <si>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</si>
  <si>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</si>
  <si>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</si>
  <si>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</si>
  <si>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</si>
  <si>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</si>
  <si>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</si>
  <si>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</si>
  <si>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</si>
  <si>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</si>
  <si>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</si>
  <si>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</si>
  <si>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</si>
  <si>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</si>
  <si>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</si>
  <si>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</si>
  <si>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</si>
  <si>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</si>
  <si>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</si>
  <si>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</si>
  <si>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</si>
  <si>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</si>
  <si>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</si>
  <si>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</si>
  <si>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</si>
  <si>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</si>
  <si>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</si>
  <si>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</si>
  <si>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</si>
  <si>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</si>
  <si>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</si>
  <si>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</si>
  <si>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</si>
  <si>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</si>
  <si>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</si>
  <si>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</si>
  <si>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</si>
  <si>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</si>
  <si>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</si>
  <si>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</si>
  <si>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</si>
  <si>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</si>
  <si>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</si>
  <si>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</si>
  <si>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</si>
  <si>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</si>
  <si>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</si>
  <si>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</si>
  <si>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</si>
  <si>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</si>
  <si>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</si>
  <si>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</si>
  <si>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</si>
  <si>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</si>
  <si>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</si>
  <si>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</si>
  <si>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</si>
  <si>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</si>
  <si>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</si>
  <si>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</si>
  <si>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</si>
  <si>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</si>
  <si>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</si>
  <si>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</si>
  <si>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</si>
  <si>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</si>
  <si>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</si>
  <si>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</si>
  <si>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</si>
  <si>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</si>
  <si>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</si>
  <si>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</si>
  <si>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</si>
  <si>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</si>
  <si>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</si>
  <si>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</si>
  <si>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</si>
  <si>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</si>
  <si>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</si>
  <si>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</si>
  <si>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</si>
  <si>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</si>
  <si>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</si>
  <si>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</si>
  <si>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</si>
  <si>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</si>
  <si>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</si>
  <si>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</si>
  <si>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</si>
  <si>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</si>
  <si>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</si>
  <si>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</si>
  <si>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</si>
  <si>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</si>
  <si>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</si>
  <si>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</si>
  <si>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</si>
  <si>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</si>
  <si>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</si>
  <si>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</si>
  <si>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</si>
  <si>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</si>
  <si>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</si>
  <si>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</si>
  <si>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</si>
  <si>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</si>
  <si>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</si>
  <si>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</si>
  <si>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</si>
  <si>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</si>
  <si>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</si>
  <si>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</si>
  <si>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</si>
  <si>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</si>
  <si>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</si>
  <si>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</si>
  <si>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</si>
  <si>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</si>
  <si>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</si>
  <si>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</si>
  <si>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</si>
  <si>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</si>
  <si>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</si>
  <si>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</si>
  <si>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</si>
  <si>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</si>
  <si>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</si>
  <si>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</si>
  <si>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</si>
  <si>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</si>
  <si>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</si>
  <si>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</si>
  <si>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</si>
  <si>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</si>
  <si>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</si>
  <si>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</si>
  <si>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</si>
  <si>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</si>
  <si>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</si>
  <si>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</si>
  <si>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</si>
  <si>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</si>
  <si>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</si>
  <si>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</si>
  <si>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</si>
  <si>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</si>
  <si>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</si>
  <si>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</si>
  <si>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</si>
  <si>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</si>
  <si>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</si>
  <si>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</si>
  <si>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</si>
  <si>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</si>
  <si>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</si>
  <si>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</si>
  <si>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</si>
  <si>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</si>
  <si>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</si>
  <si>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</si>
  <si>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</si>
  <si>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</si>
  <si>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</si>
  <si>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</si>
  <si>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</si>
  <si>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</si>
  <si>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</si>
  <si>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</si>
  <si>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</si>
  <si>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</si>
  <si>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</si>
  <si>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</si>
  <si>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</si>
  <si>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</si>
  <si>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</si>
  <si>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</si>
  <si>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</si>
  <si>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</si>
  <si>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</si>
  <si>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</si>
  <si>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</si>
  <si>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</si>
  <si>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</si>
  <si>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</si>
  <si>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</si>
  <si>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</si>
  <si>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</si>
  <si>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</si>
  <si>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</si>
  <si>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</si>
  <si>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</si>
  <si>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</si>
  <si>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</si>
  <si>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</si>
  <si>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</si>
  <si>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</si>
  <si>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</si>
  <si>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</si>
  <si>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</si>
  <si>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</si>
  <si>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</si>
  <si>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</si>
  <si>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</si>
  <si>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</si>
  <si>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</si>
  <si>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</si>
  <si>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</si>
  <si>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</si>
  <si>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</si>
  <si>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</si>
  <si>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</si>
  <si>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</si>
  <si>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</si>
  <si>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</si>
  <si>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</si>
  <si>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</si>
  <si>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</si>
  <si>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</si>
  <si>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</si>
  <si>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</si>
  <si>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</si>
  <si>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</si>
  <si>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</si>
  <si>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</si>
  <si>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</si>
  <si>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</si>
  <si>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</si>
  <si>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</si>
  <si>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</si>
  <si>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</si>
  <si>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</si>
  <si>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</si>
  <si>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</si>
  <si>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</si>
  <si>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</si>
  <si>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</si>
  <si>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</si>
  <si>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</si>
  <si>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</si>
  <si>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</si>
  <si>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</si>
  <si>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</si>
  <si>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</si>
  <si>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</si>
  <si>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</si>
  <si>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</si>
  <si>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</si>
  <si>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</si>
  <si>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</si>
  <si>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</si>
  <si>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</si>
  <si>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</si>
  <si>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</si>
  <si>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</si>
  <si>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</si>
  <si>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</si>
  <si>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</si>
  <si>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</si>
  <si>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</si>
  <si>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</si>
  <si>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</si>
  <si>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</si>
  <si>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</si>
  <si>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</si>
  <si>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</si>
  <si>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</si>
  <si>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</si>
  <si>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</si>
  <si>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</si>
  <si>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</si>
  <si>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</si>
  <si>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</si>
  <si>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</si>
  <si>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</si>
  <si>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</si>
  <si>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</si>
  <si>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</si>
  <si>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</si>
  <si>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</si>
  <si>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</si>
  <si>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</si>
  <si>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</si>
  <si>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</si>
  <si>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</si>
  <si>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</si>
  <si>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</si>
  <si>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</si>
  <si>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</si>
  <si>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</si>
  <si>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</si>
  <si>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</si>
  <si>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</si>
  <si>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</si>
  <si>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</si>
  <si>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</si>
  <si>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</si>
  <si>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</si>
  <si>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</si>
  <si>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</si>
  <si>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</si>
  <si>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</si>
  <si>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</si>
  <si>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</si>
  <si>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</si>
  <si>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</si>
  <si>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</si>
  <si>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</si>
  <si>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</si>
  <si>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</si>
  <si>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</si>
  <si>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</si>
  <si>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</si>
  <si>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</si>
  <si>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</si>
  <si>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</si>
  <si>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</si>
  <si>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</si>
  <si>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</si>
  <si>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</si>
  <si>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</si>
  <si>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</si>
  <si>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</si>
  <si>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</si>
  <si>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</si>
  <si>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</si>
  <si>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</si>
  <si>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</si>
  <si>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</si>
  <si>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</si>
  <si>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</si>
  <si>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</si>
  <si>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</si>
  <si>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</si>
  <si>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</si>
  <si>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</si>
  <si>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</si>
  <si>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</si>
  <si>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</si>
  <si>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</si>
  <si>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</si>
  <si>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</si>
  <si>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</si>
  <si>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</si>
  <si>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</si>
  <si>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</si>
  <si>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</si>
  <si>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</si>
  <si>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</si>
  <si>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</si>
  <si>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</si>
  <si>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</si>
  <si>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</si>
  <si>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</si>
  <si>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</si>
  <si>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</si>
  <si>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</si>
  <si>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</si>
  <si>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</si>
  <si>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</si>
  <si>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</si>
  <si>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</si>
  <si>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</si>
  <si>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</si>
  <si>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</si>
  <si>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</si>
  <si>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</si>
  <si>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</si>
  <si>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</si>
  <si>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</si>
  <si>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</si>
  <si>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</si>
  <si>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</si>
  <si>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</si>
  <si>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</si>
  <si>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</si>
  <si>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</si>
  <si>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</si>
  <si>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</si>
  <si>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</si>
  <si>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</si>
  <si>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</si>
  <si>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</si>
  <si>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</si>
  <si>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</si>
  <si>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</si>
  <si>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</si>
  <si>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</si>
  <si>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</si>
  <si>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</si>
  <si>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</si>
  <si>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</si>
  <si>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</si>
  <si>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</si>
  <si>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</si>
  <si>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</si>
  <si>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</si>
  <si>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</si>
  <si>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</si>
  <si>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</si>
  <si>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</si>
  <si>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</si>
  <si>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</si>
  <si>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</si>
  <si>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</si>
  <si>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</si>
  <si>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</si>
  <si>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</si>
  <si>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</si>
  <si>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</si>
  <si>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</si>
  <si>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</si>
  <si>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</si>
  <si>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</si>
  <si>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</si>
  <si>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</si>
  <si>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</si>
  <si>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</si>
  <si>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</si>
  <si>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</si>
  <si>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</si>
  <si>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</si>
  <si>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</si>
  <si>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</si>
  <si>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</si>
  <si>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</si>
  <si>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</si>
  <si>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</si>
  <si>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</si>
  <si>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</si>
  <si>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</si>
  <si>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</si>
  <si>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</si>
  <si>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</si>
  <si>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</si>
  <si>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</si>
  <si>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</si>
  <si>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</si>
  <si>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</si>
  <si>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</si>
  <si>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</si>
  <si>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</si>
  <si>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</si>
  <si>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</si>
  <si>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</si>
  <si>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</si>
  <si>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</si>
  <si>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</si>
  <si>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</si>
  <si>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</si>
  <si>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</si>
  <si>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</si>
  <si>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</si>
  <si>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</si>
  <si>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</si>
  <si>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</si>
  <si>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</si>
  <si>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</si>
  <si>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</si>
  <si>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</si>
  <si>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</si>
  <si>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</si>
  <si>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</si>
  <si>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</si>
  <si>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</si>
  <si>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</si>
  <si>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</si>
  <si>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</si>
  <si>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</si>
  <si>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</si>
  <si>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</si>
  <si>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</si>
  <si>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</si>
  <si>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</si>
  <si>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</si>
  <si>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</si>
  <si>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</si>
  <si>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</si>
  <si>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</si>
  <si>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</si>
  <si>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</si>
  <si>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</si>
  <si>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</si>
  <si>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</si>
  <si>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</si>
  <si>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</si>
  <si>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</si>
  <si>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</si>
  <si>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</si>
  <si>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</si>
  <si>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</si>
  <si>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</si>
  <si>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</si>
  <si>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</si>
  <si>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</si>
  <si>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</si>
  <si>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</si>
  <si>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</si>
  <si>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</si>
  <si>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</si>
  <si>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</si>
  <si>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</si>
  <si>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</si>
  <si>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</si>
  <si>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</si>
  <si>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</si>
  <si>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</si>
  <si>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</si>
  <si>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</si>
  <si>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</si>
  <si>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</si>
  <si>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</si>
  <si>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</si>
  <si>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</si>
  <si>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</si>
  <si>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</si>
  <si>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</si>
  <si>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</si>
  <si>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</si>
  <si>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</si>
  <si>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</si>
  <si>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</si>
  <si>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</si>
  <si>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</si>
  <si>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</si>
  <si>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</si>
  <si>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</si>
  <si>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</si>
  <si>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</si>
  <si>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</si>
  <si>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</si>
  <si>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</si>
  <si>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</si>
  <si>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</si>
  <si>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</si>
  <si>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</si>
  <si>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</si>
  <si>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</si>
  <si>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</si>
  <si>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</si>
  <si>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</si>
  <si>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</si>
  <si>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</si>
  <si>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</si>
  <si>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</si>
  <si>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</si>
  <si>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</si>
  <si>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</si>
  <si>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</si>
  <si>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</si>
  <si>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</si>
  <si>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</si>
  <si>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</si>
  <si>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</si>
  <si>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</si>
  <si>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</si>
  <si>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</si>
  <si>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</si>
  <si>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</si>
  <si>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</si>
  <si>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</si>
  <si>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</si>
  <si>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</si>
  <si>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</si>
  <si>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</si>
  <si>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</si>
  <si>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</si>
  <si>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</si>
  <si>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</si>
  <si>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</si>
  <si>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</si>
  <si>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</si>
  <si>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</si>
  <si>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</si>
  <si>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</si>
  <si>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</si>
  <si>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</si>
  <si>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</si>
  <si>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</si>
  <si>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</si>
  <si>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</si>
  <si>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</si>
  <si>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</si>
  <si>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</si>
  <si>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</si>
  <si>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</si>
  <si>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</si>
  <si>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</si>
  <si>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</si>
  <si>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</si>
  <si>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</si>
  <si>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</si>
  <si>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</si>
  <si>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</si>
  <si>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</si>
  <si>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</si>
  <si>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</si>
  <si>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</si>
  <si>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</si>
  <si>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</si>
  <si>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</si>
  <si>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</si>
  <si>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</si>
  <si>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</si>
  <si>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</si>
  <si>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</si>
  <si>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</si>
  <si>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</si>
  <si>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</si>
  <si>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</si>
  <si>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</si>
  <si>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</si>
  <si>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</si>
  <si>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</si>
  <si>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</si>
  <si>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</si>
  <si>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</si>
  <si>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</si>
  <si>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</si>
  <si>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</si>
  <si>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</si>
  <si>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</si>
  <si>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</si>
  <si>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</si>
  <si>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</si>
  <si>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</si>
  <si>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</si>
  <si>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</si>
  <si>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</si>
  <si>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</si>
  <si>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</si>
  <si>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</si>
  <si>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</si>
  <si>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</si>
  <si>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</si>
  <si>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</si>
  <si>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</si>
  <si>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</si>
  <si>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</si>
  <si>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</si>
  <si>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</si>
  <si>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</si>
  <si>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</si>
  <si>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</si>
  <si>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</si>
  <si>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</si>
  <si>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</si>
  <si>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</si>
  <si>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</si>
  <si>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</si>
  <si>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</si>
  <si>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</si>
  <si>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</si>
  <si>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</si>
  <si>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</si>
  <si>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</si>
  <si>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</si>
  <si>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</si>
  <si>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</si>
  <si>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</si>
  <si>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</si>
  <si>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</si>
  <si>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</si>
  <si>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</si>
  <si>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</si>
  <si>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</si>
  <si>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</si>
  <si>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</si>
  <si>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</si>
  <si>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</si>
  <si>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</si>
  <si>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</si>
  <si>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</si>
  <si>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</si>
  <si>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</si>
  <si>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</si>
  <si>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</si>
  <si>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</si>
  <si>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</si>
  <si>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</si>
  <si>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</si>
  <si>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</si>
  <si>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</si>
  <si>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</si>
  <si>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</si>
  <si>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</si>
  <si>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</si>
  <si>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</si>
  <si>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</si>
  <si>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</si>
  <si>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</si>
  <si>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</si>
  <si>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</si>
  <si>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</si>
  <si>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</si>
  <si>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</si>
  <si>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</si>
  <si>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</si>
  <si>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</si>
  <si>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</si>
  <si>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</si>
  <si>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</si>
  <si>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</si>
  <si>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</si>
  <si>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</si>
  <si>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</si>
  <si>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</si>
  <si>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</si>
  <si>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</si>
  <si>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</si>
  <si>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</si>
  <si>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</si>
  <si>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</si>
  <si>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</si>
  <si>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</si>
  <si>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</si>
  <si>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</si>
  <si>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</si>
  <si>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</si>
  <si>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</si>
  <si>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</si>
  <si>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</si>
  <si>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</si>
  <si>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</si>
  <si>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</si>
  <si>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</si>
  <si>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</si>
  <si>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</si>
  <si>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</si>
  <si>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</si>
  <si>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</si>
  <si>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</si>
  <si>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</si>
  <si>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</si>
  <si>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</si>
  <si>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</si>
  <si>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</si>
  <si>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</si>
  <si>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</si>
  <si>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</si>
  <si>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</si>
  <si>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</si>
  <si>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</si>
  <si>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</si>
  <si>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</si>
  <si>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</si>
  <si>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</si>
  <si>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</si>
  <si>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</si>
  <si>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</si>
  <si>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</si>
  <si>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</si>
  <si>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</si>
  <si>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</si>
  <si>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</si>
  <si>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</si>
  <si>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</si>
  <si>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</si>
  <si>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</si>
  <si>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</si>
  <si>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</si>
  <si>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</si>
  <si>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</si>
  <si>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</si>
  <si>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</si>
  <si>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</si>
  <si>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</si>
  <si>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</si>
  <si>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</si>
  <si>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</si>
  <si>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</si>
  <si>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</si>
  <si>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</si>
  <si>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</si>
  <si>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</si>
  <si>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</si>
  <si>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</si>
  <si>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</si>
  <si>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</si>
  <si>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</si>
  <si>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</si>
  <si>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</si>
  <si>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</si>
  <si>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</si>
  <si>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</si>
  <si>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</si>
  <si>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</si>
  <si>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</si>
  <si>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</si>
  <si>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</si>
  <si>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</si>
  <si>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</si>
  <si>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</si>
  <si>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</si>
  <si>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</si>
  <si>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</si>
  <si>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</si>
  <si>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</si>
  <si>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</si>
  <si>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</si>
  <si>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</si>
  <si>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</si>
  <si>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</si>
  <si>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</si>
  <si>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</si>
  <si>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</si>
  <si>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</si>
  <si>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</si>
  <si>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</si>
  <si>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</si>
  <si>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</si>
  <si>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</si>
  <si>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</si>
  <si>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</si>
  <si>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</si>
  <si>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</si>
  <si>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</si>
  <si>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</si>
  <si>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</si>
  <si>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</si>
  <si>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</si>
  <si>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</si>
  <si>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</si>
  <si>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</si>
  <si>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</si>
  <si>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</si>
  <si>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</si>
  <si>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</si>
  <si>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</si>
  <si>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</si>
  <si>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</si>
  <si>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</si>
  <si>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</si>
  <si>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</si>
  <si>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</si>
  <si>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</si>
  <si>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</si>
  <si>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</si>
  <si>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</si>
  <si>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</si>
  <si>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</si>
  <si>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</si>
  <si>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</si>
  <si>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</si>
  <si>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</si>
  <si>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</si>
  <si>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</si>
  <si>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</si>
  <si>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</si>
  <si>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</si>
  <si>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</si>
  <si>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</si>
  <si>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</si>
  <si>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</si>
  <si>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</si>
  <si>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</si>
  <si>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</si>
  <si>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</si>
  <si>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</si>
  <si>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</si>
  <si>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</si>
  <si>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</si>
  <si>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</si>
  <si>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</si>
  <si>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</si>
  <si>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</si>
  <si>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</si>
  <si>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</si>
  <si>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</si>
  <si>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</si>
  <si>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</si>
  <si>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</si>
  <si>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</si>
  <si>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</si>
  <si>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</si>
  <si>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</si>
  <si>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</si>
  <si>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</si>
  <si>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</si>
  <si>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</si>
  <si>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</si>
  <si>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</si>
  <si>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</si>
  <si>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</si>
  <si>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</si>
  <si>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</si>
  <si>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</si>
  <si>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</si>
  <si>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</si>
  <si>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</si>
  <si>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</si>
  <si>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</si>
  <si>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</si>
  <si>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</si>
  <si>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</si>
  <si>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</si>
  <si>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</si>
  <si>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</si>
  <si>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</si>
  <si>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</si>
  <si>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</si>
  <si>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</si>
  <si>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</si>
  <si>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</si>
  <si>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</si>
  <si>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</si>
  <si>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</si>
  <si>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</si>
  <si>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</si>
  <si>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</si>
  <si>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</si>
  <si>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</si>
  <si>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</si>
  <si>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</si>
  <si>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</si>
  <si>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</si>
  <si>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</si>
  <si>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</si>
  <si>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</si>
  <si>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</si>
  <si>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</si>
  <si>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</si>
  <si>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</si>
  <si>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</si>
  <si>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</si>
  <si>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</si>
  <si>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</si>
  <si>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</si>
  <si>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</si>
  <si>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</si>
  <si>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</si>
  <si>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</si>
  <si>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</si>
  <si>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</si>
  <si>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</si>
  <si>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</si>
  <si>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</si>
  <si>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</si>
  <si>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</si>
  <si>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</si>
  <si>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</si>
  <si>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</si>
  <si>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</si>
  <si>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</si>
  <si>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</si>
  <si>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</si>
  <si>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</si>
  <si>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</si>
  <si>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</si>
  <si>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</si>
  <si>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</si>
  <si>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</si>
  <si>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</si>
  <si>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</si>
  <si>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</si>
  <si>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</si>
  <si>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</si>
  <si>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</si>
  <si>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</si>
  <si>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</si>
  <si>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</si>
  <si>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</si>
  <si>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</si>
  <si>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</si>
  <si>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</si>
  <si>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</si>
  <si>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</si>
  <si>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</si>
  <si>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</si>
  <si>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</si>
  <si>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</si>
  <si>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</si>
  <si>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</si>
  <si>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</si>
  <si>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</si>
  <si>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</si>
  <si>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</si>
  <si>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</si>
  <si>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</si>
  <si>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</si>
  <si>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</si>
  <si>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</si>
  <si>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</si>
  <si>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</si>
  <si>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</si>
  <si>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</si>
  <si>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</si>
  <si>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</si>
  <si>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</si>
  <si>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</si>
  <si>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</si>
  <si>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</si>
  <si>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</si>
  <si>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</si>
  <si>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</si>
  <si>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</si>
  <si>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</si>
  <si>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</si>
  <si>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</si>
  <si>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</si>
  <si>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</si>
  <si>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</si>
  <si>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</si>
  <si>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</si>
  <si>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</si>
  <si>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</si>
  <si>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</si>
  <si>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</si>
  <si>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</si>
  <si>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</si>
  <si>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</si>
  <si>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</si>
  <si>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</si>
  <si>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</si>
  <si>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</si>
  <si>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</si>
  <si>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</si>
  <si>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</si>
  <si>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</si>
  <si>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</si>
  <si>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</si>
  <si>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</si>
  <si>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</si>
  <si>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</si>
  <si>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</si>
  <si>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</si>
  <si>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</si>
  <si>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</si>
  <si>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</si>
  <si>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</si>
  <si>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</si>
  <si>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</si>
  <si>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</si>
  <si>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</si>
  <si>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</si>
  <si>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</si>
  <si>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</si>
  <si>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</si>
  <si>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</si>
  <si>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</si>
  <si>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</si>
  <si>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</si>
  <si>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</si>
  <si>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</si>
  <si>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</si>
  <si>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</si>
  <si>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</si>
  <si>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</si>
  <si>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</si>
  <si>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</si>
  <si>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</si>
  <si>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</si>
  <si>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</si>
  <si>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</si>
  <si>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</si>
  <si>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</si>
  <si>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</si>
  <si>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</si>
  <si>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</si>
  <si>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</si>
  <si>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</si>
  <si>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</si>
  <si>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</si>
  <si>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</si>
  <si>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</si>
  <si>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</si>
  <si>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</si>
  <si>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</si>
  <si>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</si>
  <si>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</si>
  <si>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</si>
  <si>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</si>
  <si>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</si>
  <si>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</si>
  <si>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</si>
  <si>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</si>
  <si>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</si>
  <si>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</si>
  <si>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</si>
  <si>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</si>
  <si>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</si>
  <si>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</si>
  <si>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</si>
  <si>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</si>
  <si>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</si>
  <si>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</si>
  <si>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</si>
  <si>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</si>
  <si>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</si>
  <si>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</si>
  <si>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</si>
  <si>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</si>
  <si>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</si>
  <si>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</si>
  <si>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</si>
  <si>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</si>
  <si>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</si>
  <si>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</si>
  <si>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</si>
  <si>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</si>
  <si>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</si>
  <si>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</si>
  <si>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</si>
  <si>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</si>
  <si>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</si>
  <si>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</si>
  <si>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</si>
  <si>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</si>
  <si>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</si>
  <si>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</si>
  <si>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</si>
  <si>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</si>
  <si>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</si>
  <si>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</si>
  <si>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</si>
  <si>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</si>
  <si>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</si>
  <si>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</si>
  <si>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</si>
  <si>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</si>
  <si>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</si>
  <si>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</si>
  <si>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</si>
  <si>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</si>
  <si>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</si>
  <si>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</si>
  <si>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</si>
  <si>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</si>
  <si>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</si>
  <si>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</si>
  <si>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</si>
  <si>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</si>
  <si>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</si>
  <si>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</si>
  <si>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</si>
  <si>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</si>
  <si>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</si>
  <si>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</si>
  <si>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</si>
  <si>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</si>
  <si>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</si>
  <si>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</si>
  <si>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</si>
  <si>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</si>
  <si>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</si>
  <si>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</si>
  <si>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</si>
  <si>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</si>
  <si>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</si>
  <si>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</si>
  <si>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</si>
  <si>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</si>
  <si>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</si>
  <si>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</si>
  <si>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</si>
  <si>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</si>
  <si>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</si>
  <si>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</si>
  <si>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</si>
  <si>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</si>
  <si>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</si>
  <si>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</si>
  <si>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</si>
  <si>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</si>
  <si>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</si>
  <si>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</si>
  <si>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</si>
  <si>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</si>
  <si>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</si>
  <si>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</si>
  <si>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</si>
  <si>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</si>
  <si>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</si>
  <si>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</si>
  <si>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</si>
  <si>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</si>
  <si>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</si>
  <si>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</si>
  <si>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</si>
  <si>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</si>
  <si>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</si>
  <si>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</si>
  <si>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</si>
  <si>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</si>
  <si>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</si>
  <si>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</si>
  <si>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</si>
  <si>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</si>
  <si>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</si>
  <si>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</si>
  <si>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</si>
  <si>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</si>
  <si>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</si>
  <si>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</si>
  <si>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</si>
  <si>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</si>
  <si>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</si>
  <si>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</si>
  <si>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</si>
  <si>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</si>
  <si>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</si>
  <si>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</si>
  <si>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</si>
  <si>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</si>
  <si>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</si>
  <si>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</si>
  <si>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</si>
  <si>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</si>
  <si>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</si>
  <si>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</si>
  <si>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</si>
  <si>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</si>
  <si>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</si>
  <si>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</si>
  <si>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</si>
  <si>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</si>
  <si>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</si>
  <si>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</si>
  <si>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</si>
  <si>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</si>
  <si>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</si>
  <si>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</si>
  <si>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</si>
  <si>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</si>
  <si>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</si>
  <si>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</si>
  <si>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</si>
  <si>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</si>
  <si>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</si>
  <si>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</si>
  <si>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</si>
  <si>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</si>
  <si>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</si>
  <si>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</si>
  <si>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</si>
  <si>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</si>
  <si>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</si>
  <si>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</si>
  <si>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</si>
  <si>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</si>
  <si>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</si>
  <si>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</si>
  <si>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</si>
  <si>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</si>
  <si>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</si>
  <si>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</si>
  <si>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</si>
  <si>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</si>
  <si>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</si>
  <si>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</si>
  <si>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</si>
  <si>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</si>
  <si>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</si>
  <si>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</si>
  <si>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</si>
  <si>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</si>
  <si>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</si>
  <si>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</si>
  <si>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</si>
  <si>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</si>
  <si>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</si>
  <si>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</si>
  <si>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</si>
  <si>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</si>
  <si>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</si>
  <si>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</si>
  <si>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</si>
  <si>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</si>
  <si>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</si>
  <si>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</si>
  <si>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</si>
  <si>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</si>
  <si>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</si>
  <si>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</si>
  <si>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</si>
  <si>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</si>
  <si>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</si>
  <si>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</si>
  <si>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</si>
  <si>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</si>
  <si>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</si>
  <si>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</si>
  <si>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</si>
  <si>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</si>
  <si>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</si>
  <si>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</si>
  <si>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</si>
  <si>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</si>
  <si>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</si>
  <si>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</si>
  <si>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</si>
  <si>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</si>
  <si>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</si>
  <si>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</si>
  <si>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</si>
  <si>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</si>
  <si>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</si>
  <si>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</si>
  <si>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</si>
  <si>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</si>
  <si>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</si>
  <si>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</si>
  <si>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</si>
  <si>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</si>
  <si>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</si>
  <si>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</si>
  <si>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</si>
  <si>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</si>
  <si>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</si>
  <si>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</si>
  <si>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</si>
  <si>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</si>
  <si>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</si>
  <si>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</si>
  <si>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</si>
  <si>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</si>
  <si>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</si>
  <si>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</si>
  <si>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</si>
  <si>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</si>
  <si>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</si>
  <si>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</si>
  <si>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</si>
  <si>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</si>
  <si>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</si>
  <si>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</si>
  <si>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</si>
  <si>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</si>
  <si>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</si>
  <si>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</si>
  <si>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</si>
  <si>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</si>
  <si>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</si>
  <si>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</si>
  <si>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</si>
  <si>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</si>
  <si>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</si>
  <si>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</si>
  <si>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</si>
  <si>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</si>
  <si>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</si>
  <si>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</si>
  <si>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</si>
  <si>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</si>
  <si>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</si>
  <si>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</si>
  <si>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</si>
  <si>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</si>
  <si>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</si>
  <si>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</si>
  <si>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</si>
  <si>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</si>
  <si>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</si>
  <si>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</si>
  <si>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</si>
  <si>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</si>
  <si>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</si>
  <si>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</si>
  <si>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</si>
  <si>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</si>
  <si>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</si>
  <si>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</si>
  <si>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</si>
  <si>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</si>
  <si>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</si>
  <si>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</si>
  <si>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</si>
  <si>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</si>
  <si>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</si>
  <si>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</si>
  <si>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</si>
  <si>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</si>
  <si>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</si>
  <si>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</si>
  <si>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</si>
  <si>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</si>
  <si>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</si>
  <si>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</si>
  <si>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</si>
  <si>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</si>
  <si>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</si>
  <si>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</si>
  <si>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</si>
  <si>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</si>
  <si>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</si>
  <si>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</si>
  <si>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</si>
  <si>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</si>
  <si>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</si>
  <si>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</si>
  <si>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</si>
  <si>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</si>
  <si>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</si>
  <si>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</si>
  <si>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</si>
  <si>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</si>
  <si>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</si>
  <si>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</si>
  <si>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</si>
  <si>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</si>
  <si>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</si>
  <si>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</si>
  <si>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</si>
  <si>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</si>
  <si>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</si>
  <si>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</si>
  <si>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</si>
  <si>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</si>
  <si>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</si>
  <si>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</si>
  <si>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</si>
  <si>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</si>
  <si>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</si>
  <si>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</si>
  <si>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</si>
  <si>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</si>
  <si>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</si>
  <si>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</si>
  <si>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</si>
  <si>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</si>
  <si>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</si>
  <si>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</si>
  <si>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</si>
  <si>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</si>
  <si>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</si>
  <si>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</si>
  <si>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</si>
  <si>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</si>
  <si>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</si>
  <si>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</si>
  <si>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</si>
  <si>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</si>
  <si>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</si>
  <si>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</si>
  <si>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</si>
  <si>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</si>
  <si>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</si>
  <si>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</si>
  <si>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</si>
  <si>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</si>
  <si>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</si>
  <si>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</si>
  <si>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</si>
  <si>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</si>
  <si>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</si>
  <si>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</si>
  <si>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</si>
  <si>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</si>
  <si>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</si>
  <si>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</si>
  <si>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</si>
  <si>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</si>
  <si>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</si>
  <si>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</si>
  <si>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</si>
  <si>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</si>
  <si>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</si>
  <si>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</si>
  <si>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</si>
  <si>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</si>
  <si>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</si>
  <si>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</si>
  <si>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</si>
  <si>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</si>
  <si>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</si>
  <si>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</si>
  <si>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</si>
  <si>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</si>
  <si>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</si>
  <si>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</si>
  <si>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</si>
  <si>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</si>
  <si>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</si>
  <si>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</si>
  <si>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</si>
  <si>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</si>
  <si>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</si>
  <si>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</si>
  <si>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</si>
  <si>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</si>
  <si>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</si>
  <si>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</si>
  <si>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</si>
  <si>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</si>
  <si>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</si>
  <si>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</si>
  <si>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</si>
  <si>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</si>
  <si>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</si>
  <si>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</si>
  <si>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</si>
  <si>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</si>
  <si>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</si>
  <si>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</si>
  <si>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</si>
  <si>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</si>
  <si>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</si>
  <si>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</si>
  <si>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</si>
  <si>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</si>
  <si>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</si>
  <si>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</si>
  <si>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</si>
  <si>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</si>
  <si>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</si>
  <si>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</si>
  <si>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</si>
  <si>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</si>
  <si>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</si>
  <si>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</si>
  <si>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</si>
  <si>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</si>
  <si>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</si>
  <si>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</si>
  <si>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</si>
  <si>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</si>
  <si>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</si>
  <si>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</si>
  <si>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</si>
  <si>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</si>
  <si>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</si>
  <si>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</si>
  <si>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</si>
  <si>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</si>
  <si>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</si>
  <si>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</si>
  <si>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</si>
  <si>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</si>
  <si>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</si>
  <si>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</si>
  <si>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</si>
  <si>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</si>
  <si>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</si>
  <si>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</si>
  <si>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</si>
  <si>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</si>
  <si>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</si>
  <si>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</si>
  <si>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</si>
  <si>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</si>
  <si>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</si>
  <si>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</si>
  <si>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</si>
  <si>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</si>
  <si>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</si>
  <si>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</si>
  <si>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</si>
  <si>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</si>
  <si>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</si>
  <si>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</si>
  <si>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</si>
  <si>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</si>
  <si>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</si>
  <si>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</si>
  <si>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</si>
  <si>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</si>
  <si>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</si>
  <si>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</si>
  <si>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</si>
  <si>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</si>
  <si>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</si>
  <si>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</si>
  <si>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</si>
  <si>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</si>
  <si>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</si>
  <si>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</si>
  <si>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</si>
  <si>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</si>
  <si>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</si>
  <si>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</si>
  <si>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</si>
  <si>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</si>
  <si>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</si>
  <si>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</si>
  <si>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</si>
  <si>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</si>
  <si>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</si>
  <si>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</si>
  <si>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</si>
  <si>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</si>
  <si>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</si>
  <si>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</si>
  <si>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</si>
  <si>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</si>
  <si>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</si>
  <si>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</si>
  <si>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</si>
  <si>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</si>
  <si>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</si>
  <si>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</si>
  <si>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</si>
  <si>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</si>
  <si>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</si>
  <si>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</si>
  <si>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</si>
  <si>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</si>
  <si>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</si>
  <si>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</si>
  <si>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</si>
  <si>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</si>
  <si>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</si>
  <si>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</si>
  <si>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</si>
  <si>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</si>
  <si>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</si>
  <si>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</si>
  <si>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</si>
  <si>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</si>
  <si>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</si>
  <si>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</si>
  <si>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</si>
  <si>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</si>
  <si>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</si>
  <si>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</si>
  <si>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</si>
  <si>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</si>
  <si>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</si>
  <si>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</si>
  <si>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</si>
  <si>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</si>
  <si>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</si>
  <si>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</si>
  <si>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</si>
  <si>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</si>
  <si>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</si>
  <si>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</si>
  <si>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</si>
  <si>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</si>
  <si>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</si>
  <si>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</si>
  <si>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</si>
  <si>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</si>
  <si>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</si>
  <si>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</si>
  <si>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</si>
  <si>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</si>
  <si>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</si>
  <si>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</si>
  <si>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</si>
  <si>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</si>
  <si>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</si>
  <si>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</si>
  <si>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</si>
  <si>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</si>
  <si>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</si>
  <si>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</si>
  <si>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</si>
  <si>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</si>
  <si>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</si>
  <si>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</si>
  <si>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</si>
  <si>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</si>
  <si>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</si>
  <si>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</si>
  <si>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</si>
  <si>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</si>
  <si>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</si>
  <si>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</si>
  <si>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</si>
  <si>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</si>
  <si>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</si>
  <si>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</si>
  <si>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</si>
  <si>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</si>
  <si>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</si>
  <si>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</si>
  <si>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</si>
  <si>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</si>
  <si>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</si>
  <si>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</si>
  <si>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</si>
  <si>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</si>
  <si>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</si>
  <si>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</si>
  <si>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</si>
  <si>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</si>
  <si>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</si>
  <si>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</si>
  <si>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</si>
  <si>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</si>
  <si>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</si>
  <si>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</si>
  <si>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</si>
  <si>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</si>
  <si>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</si>
  <si>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</si>
  <si>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</si>
  <si>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</si>
  <si>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</si>
  <si>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</si>
  <si>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</si>
  <si>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</si>
  <si>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</si>
  <si>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</si>
  <si>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</si>
  <si>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</si>
  <si>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</si>
  <si>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</si>
  <si>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</si>
  <si>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</si>
  <si>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</si>
  <si>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</si>
  <si>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</si>
  <si>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</si>
  <si>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</si>
  <si>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</si>
  <si>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</si>
  <si>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</si>
  <si>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</si>
  <si>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</si>
  <si>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</si>
  <si>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</si>
  <si>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</si>
  <si>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</si>
  <si>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</si>
  <si>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</si>
  <si>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</si>
  <si>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</si>
  <si>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</si>
  <si>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</si>
  <si>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</si>
  <si>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</si>
  <si>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</si>
  <si>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</si>
  <si>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</si>
  <si>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</si>
  <si>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</si>
  <si>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</si>
  <si>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</si>
  <si>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</si>
  <si>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</si>
  <si>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</si>
  <si>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</si>
  <si>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</si>
  <si>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</si>
  <si>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</si>
  <si>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</si>
  <si>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</si>
  <si>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</si>
  <si>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</si>
  <si>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</si>
  <si>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</si>
  <si>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</si>
  <si>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</si>
  <si>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</si>
  <si>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</si>
  <si>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</si>
  <si>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</si>
  <si>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</si>
  <si>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</si>
  <si>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</si>
  <si>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</si>
  <si>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</si>
  <si>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</si>
  <si>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</si>
  <si>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</si>
  <si>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</si>
  <si>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</si>
  <si>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</si>
  <si>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</si>
  <si>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</si>
  <si>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</si>
  <si>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</si>
  <si>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</si>
  <si>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</si>
  <si>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</si>
  <si>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</si>
  <si>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</si>
  <si>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</si>
  <si>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</si>
  <si>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</si>
  <si>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</si>
  <si>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</si>
  <si>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</si>
  <si>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</si>
  <si>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</si>
  <si>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</si>
  <si>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</si>
  <si>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</si>
  <si>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</si>
  <si>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</si>
  <si>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</si>
  <si>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</si>
  <si>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</si>
  <si>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</si>
  <si>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</si>
  <si>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</si>
  <si>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</si>
  <si>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</si>
  <si>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</si>
  <si>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</si>
  <si>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</si>
  <si>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</si>
  <si>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</si>
  <si>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</si>
  <si>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</si>
  <si>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</si>
  <si>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</si>
  <si>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</si>
  <si>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</si>
  <si>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</si>
  <si>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</si>
  <si>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</si>
  <si>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</si>
  <si>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</si>
  <si>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</si>
  <si>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</si>
  <si>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</si>
  <si>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</si>
  <si>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</si>
  <si>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</si>
  <si>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</si>
  <si>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</si>
  <si>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</si>
  <si>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</si>
  <si>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</si>
  <si>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</si>
  <si>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</si>
  <si>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</si>
  <si>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</si>
  <si>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</si>
  <si>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</si>
  <si>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</si>
  <si>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</si>
  <si>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</si>
  <si>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</si>
  <si>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</si>
  <si>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</si>
  <si>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</si>
  <si>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</si>
  <si>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</si>
  <si>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</si>
  <si>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</si>
  <si>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</si>
  <si>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</si>
  <si>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</si>
  <si>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</si>
  <si>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</si>
  <si>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</si>
  <si>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</si>
  <si>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</si>
  <si>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</si>
  <si>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</si>
  <si>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</si>
  <si>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</si>
  <si>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</si>
  <si>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</si>
  <si>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</si>
  <si>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</si>
  <si>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</si>
  <si>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</si>
  <si>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</si>
  <si>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</si>
  <si>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</si>
  <si>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</si>
  <si>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</si>
  <si>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</si>
  <si>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</si>
  <si>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</si>
  <si>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</si>
  <si>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</si>
  <si>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</si>
  <si>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</si>
  <si>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</si>
  <si>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</si>
  <si>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</si>
  <si>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</si>
  <si>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</si>
  <si>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</si>
  <si>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</si>
  <si>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</si>
  <si>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</si>
  <si>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</si>
  <si>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</si>
  <si>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</si>
  <si>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</si>
  <si>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</si>
  <si>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</si>
  <si>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</si>
  <si>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</si>
  <si>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</si>
  <si>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</si>
  <si>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</si>
  <si>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</si>
  <si>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</si>
  <si>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</si>
  <si>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</si>
  <si>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</si>
  <si>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</si>
  <si>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</si>
  <si>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</si>
  <si>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</si>
  <si>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</si>
  <si>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</si>
  <si>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</si>
  <si>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</si>
  <si>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</si>
  <si>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</si>
  <si>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</si>
  <si>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</si>
  <si>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</si>
  <si>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</si>
  <si>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</si>
  <si>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</si>
  <si>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</si>
  <si>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</si>
  <si>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</si>
  <si>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</si>
  <si>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</si>
  <si>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</si>
  <si>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</si>
  <si>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</si>
  <si>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</si>
  <si>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</si>
  <si>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</si>
  <si>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</si>
  <si>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</si>
  <si>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</si>
  <si>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</si>
  <si>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</si>
  <si>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</si>
  <si>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</si>
  <si>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</si>
  <si>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</si>
  <si>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</si>
  <si>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</si>
  <si>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</si>
  <si>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</si>
  <si>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</si>
  <si>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</si>
  <si>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</si>
  <si>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</si>
  <si>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</si>
  <si>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</si>
  <si>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</si>
  <si>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</si>
  <si>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</si>
  <si>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</si>
  <si>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</si>
  <si>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</si>
  <si>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</si>
  <si>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</si>
  <si>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</si>
  <si>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</si>
  <si>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</si>
  <si>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</si>
  <si>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</si>
  <si>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</si>
  <si>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</si>
  <si>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</si>
  <si>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</si>
  <si>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</si>
  <si>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</si>
  <si>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</si>
  <si>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</si>
  <si>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</si>
  <si>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</si>
  <si>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</si>
  <si>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</si>
  <si>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</si>
  <si>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</si>
  <si>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</si>
  <si>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</si>
  <si>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</si>
  <si>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</si>
  <si>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</si>
  <si>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</si>
  <si>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</si>
  <si>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</si>
  <si>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</si>
  <si>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</si>
  <si>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</si>
  <si>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</si>
  <si>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</si>
  <si>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</si>
  <si>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</si>
  <si>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</si>
  <si>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</si>
  <si>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</si>
  <si>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</si>
  <si>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</si>
  <si>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</si>
  <si>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</si>
  <si>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</si>
  <si>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</si>
  <si>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</si>
  <si>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</si>
  <si>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</si>
  <si>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</si>
  <si>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</si>
  <si>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</si>
  <si>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</si>
  <si>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</si>
  <si>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</si>
  <si>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</si>
  <si>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</si>
  <si>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</si>
  <si>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</si>
  <si>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</si>
  <si>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</si>
  <si>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</si>
  <si>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</si>
  <si>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</si>
  <si>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</si>
  <si>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</si>
  <si>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</si>
  <si>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</si>
  <si>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</si>
  <si>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</si>
  <si>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</si>
  <si>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</si>
  <si>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</si>
  <si>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</si>
  <si>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</si>
  <si>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</si>
  <si>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</si>
  <si>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</si>
  <si>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</si>
  <si>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</si>
  <si>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</si>
  <si>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</si>
  <si>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</si>
  <si>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</si>
  <si>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</si>
  <si>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</si>
  <si>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</si>
  <si>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</si>
  <si>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</si>
  <si>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</si>
  <si>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</si>
  <si>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</si>
  <si>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</si>
  <si>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</si>
  <si>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</si>
  <si>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</si>
  <si>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</si>
  <si>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</si>
  <si>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</si>
  <si>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</si>
  <si>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</si>
  <si>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</si>
  <si>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</si>
  <si>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</si>
  <si>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</si>
  <si>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</si>
  <si>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</si>
  <si>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</si>
  <si>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</si>
  <si>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</si>
  <si>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</si>
  <si>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</si>
  <si>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</si>
  <si>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</si>
  <si>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</si>
  <si>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</si>
  <si>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</si>
  <si>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</si>
  <si>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</si>
  <si>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</si>
  <si>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</si>
  <si>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</si>
  <si>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</si>
  <si>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</si>
  <si>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</si>
  <si>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</si>
  <si>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</si>
  <si>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</si>
  <si>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</si>
  <si>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</si>
  <si>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</si>
  <si>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</si>
  <si>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</si>
  <si>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</si>
  <si>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</si>
  <si>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</si>
  <si>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</si>
  <si>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</si>
  <si>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</si>
  <si>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</si>
  <si>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</si>
  <si>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</si>
  <si>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</si>
  <si>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</si>
  <si>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</si>
  <si>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</si>
  <si>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</si>
  <si>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</si>
  <si>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</si>
  <si>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</si>
  <si>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</si>
  <si>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</si>
  <si>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</si>
  <si>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</si>
  <si>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</si>
  <si>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</si>
  <si>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</si>
  <si>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</si>
  <si>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</si>
  <si>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</si>
  <si>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</si>
  <si>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</si>
  <si>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</si>
  <si>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</si>
  <si>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</si>
  <si>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</si>
  <si>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</si>
  <si>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</si>
  <si>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</si>
  <si>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</si>
  <si>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</si>
  <si>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</si>
  <si>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</si>
  <si>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</si>
  <si>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</si>
  <si>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</si>
  <si>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</si>
  <si>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</si>
  <si>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</si>
  <si>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</si>
  <si>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</si>
  <si>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</si>
  <si>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</si>
  <si>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</si>
  <si>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</si>
  <si>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</si>
  <si>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</si>
  <si>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</si>
  <si>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</si>
  <si>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</si>
  <si>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</si>
  <si>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</si>
  <si>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</si>
  <si>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</si>
  <si>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</si>
  <si>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</si>
  <si>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</si>
  <si>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</si>
  <si>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</si>
  <si>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</si>
  <si>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</si>
  <si>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</si>
  <si>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</si>
  <si>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</si>
  <si>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</si>
  <si>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</si>
  <si>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</si>
  <si>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</si>
  <si>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</si>
  <si>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</si>
  <si>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</si>
  <si>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</si>
  <si>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</si>
  <si>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</si>
  <si>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</si>
  <si>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</si>
  <si>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</si>
  <si>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</si>
  <si>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</si>
  <si>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</si>
  <si>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</si>
  <si>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</si>
  <si>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</si>
  <si>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</si>
  <si>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</si>
  <si>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</si>
  <si>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</si>
  <si>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</si>
  <si>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</si>
  <si>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</si>
  <si>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</si>
  <si>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</si>
  <si>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</si>
  <si>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</si>
  <si>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</si>
  <si>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</si>
  <si>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</si>
  <si>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</si>
  <si>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</si>
  <si>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</si>
  <si>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</si>
  <si>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</si>
  <si>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</si>
  <si>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</si>
  <si>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</si>
  <si>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</si>
  <si>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</si>
  <si>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</si>
  <si>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</si>
  <si>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</si>
  <si>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</si>
  <si>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</si>
  <si>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</si>
  <si>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</si>
  <si>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</si>
  <si>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</si>
  <si>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</si>
  <si>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</si>
  <si>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</si>
  <si>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</si>
  <si>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</si>
  <si>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</si>
  <si>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</si>
  <si>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</si>
  <si>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</si>
  <si>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</si>
  <si>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</si>
  <si>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</si>
  <si>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</si>
  <si>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</si>
  <si>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</si>
  <si>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</si>
  <si>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</si>
  <si>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</si>
  <si>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</si>
  <si>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</si>
  <si>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</si>
  <si>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</si>
  <si>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</si>
  <si>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</si>
  <si>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</si>
  <si>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</si>
  <si>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</si>
  <si>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</si>
  <si>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</si>
  <si>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</si>
  <si>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</si>
  <si>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</si>
  <si>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</si>
  <si>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</si>
  <si>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</si>
  <si>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</si>
  <si>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</si>
  <si>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</si>
  <si>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</si>
  <si>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</si>
  <si>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</si>
  <si>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</si>
  <si>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</si>
  <si>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</si>
  <si>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</si>
  <si>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</si>
  <si>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</si>
  <si>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</si>
  <si>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</si>
  <si>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</si>
  <si>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</si>
  <si>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</si>
  <si>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</si>
  <si>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</si>
  <si>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</si>
  <si>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</si>
  <si>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</si>
  <si>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</si>
  <si>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</si>
  <si>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</si>
  <si>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</si>
  <si>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</si>
  <si>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</si>
  <si>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</si>
  <si>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</si>
  <si>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</si>
  <si>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</si>
  <si>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</si>
  <si>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</si>
  <si>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</si>
  <si>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</si>
  <si>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</si>
  <si>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</si>
  <si>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</si>
  <si>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</si>
  <si>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</si>
  <si>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</si>
  <si>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</si>
  <si>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</si>
  <si>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</si>
  <si>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</si>
  <si>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</si>
  <si>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</si>
  <si>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</si>
  <si>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</si>
  <si>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</si>
  <si>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</si>
  <si>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</si>
  <si>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</si>
  <si>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</si>
  <si>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</si>
  <si>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</si>
  <si>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</si>
  <si>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</si>
  <si>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</si>
  <si>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</si>
  <si>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</si>
  <si>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</si>
  <si>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</si>
  <si>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</si>
  <si>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</si>
  <si>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</si>
  <si>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</si>
  <si>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</si>
  <si>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</si>
  <si>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</si>
  <si>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</si>
  <si>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</si>
  <si>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</si>
  <si>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</si>
  <si>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</si>
  <si>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</si>
  <si>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</si>
  <si>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</si>
  <si>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</si>
  <si>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</si>
  <si>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</si>
  <si>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</si>
  <si>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</si>
  <si>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</si>
  <si>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</si>
  <si>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</si>
  <si>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</si>
  <si>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</si>
  <si>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</si>
  <si>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</si>
  <si>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</si>
  <si>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</si>
  <si>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</si>
  <si>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</si>
  <si>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</si>
  <si>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</si>
  <si>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</si>
  <si>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</si>
  <si>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</si>
  <si>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</si>
  <si>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</si>
  <si>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</si>
  <si>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</si>
  <si>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</si>
  <si>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</si>
  <si>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</si>
  <si>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</si>
  <si>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</si>
  <si>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</si>
  <si>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</si>
  <si>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</si>
  <si>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</si>
  <si>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</si>
  <si>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</si>
  <si>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</si>
  <si>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</si>
  <si>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</si>
  <si>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</si>
  <si>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</si>
  <si>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</si>
  <si>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</si>
  <si>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</si>
  <si>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</si>
  <si>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</si>
  <si>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</si>
  <si>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</si>
  <si>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</si>
  <si>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</si>
  <si>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</si>
  <si>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</si>
  <si>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</si>
  <si>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</si>
  <si>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</si>
  <si>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</si>
  <si>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</si>
  <si>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</si>
  <si>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</si>
  <si>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</si>
  <si>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</si>
  <si>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</si>
  <si>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</si>
  <si>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</si>
  <si>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</si>
  <si>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</si>
  <si>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</si>
  <si>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</si>
  <si>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</si>
  <si>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</si>
  <si>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</si>
  <si>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</si>
  <si>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</si>
  <si>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</si>
  <si>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</si>
  <si>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</si>
  <si>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</si>
  <si>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</si>
  <si>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</si>
  <si>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</si>
  <si>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</si>
  <si>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</si>
  <si>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</si>
  <si>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</si>
  <si>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</si>
  <si>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</si>
  <si>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</si>
  <si>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</si>
  <si>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</si>
  <si>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</si>
  <si>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</si>
  <si>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</si>
  <si>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</si>
  <si>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</si>
  <si>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</si>
  <si>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</si>
  <si>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</si>
  <si>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</si>
  <si>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</si>
  <si>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</si>
  <si>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</si>
  <si>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</si>
  <si>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</si>
  <si>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</si>
  <si>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</si>
  <si>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</si>
  <si>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</si>
  <si>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</si>
  <si>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</si>
  <si>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</si>
  <si>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</si>
  <si>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</si>
  <si>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</si>
  <si>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</si>
  <si>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</si>
  <si>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</si>
  <si>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</si>
  <si>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</si>
  <si>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</si>
  <si>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</si>
  <si>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</si>
  <si>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</si>
  <si>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</si>
  <si>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</si>
  <si>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</si>
  <si>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</si>
  <si>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</si>
  <si>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</si>
  <si>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</si>
  <si>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</si>
  <si>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</si>
  <si>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</si>
  <si>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</si>
  <si>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</si>
  <si>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</si>
  <si>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</si>
  <si>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</si>
  <si>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</si>
  <si>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</si>
  <si>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</si>
  <si>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</si>
  <si>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</si>
  <si>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</si>
  <si>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</si>
  <si>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</si>
  <si>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</si>
  <si>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</si>
  <si>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</si>
  <si>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</si>
  <si>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</si>
  <si>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</si>
  <si>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</si>
  <si>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</si>
  <si>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</si>
  <si>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</si>
  <si>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</si>
  <si>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</si>
  <si>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</si>
  <si>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</si>
  <si>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</si>
  <si>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</si>
  <si>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</si>
  <si>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</si>
  <si>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</si>
  <si>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</si>
  <si>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</si>
  <si>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</si>
  <si>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</si>
  <si>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</si>
  <si>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</si>
  <si>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</si>
  <si>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</si>
  <si>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</si>
  <si>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</si>
  <si>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</si>
  <si>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</si>
  <si>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</si>
  <si>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</si>
  <si>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</si>
  <si>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</si>
  <si>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</si>
  <si>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</si>
  <si>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</si>
  <si>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</si>
  <si>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</si>
  <si>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</si>
  <si>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</si>
  <si>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</si>
  <si>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</si>
  <si>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</si>
  <si>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</si>
  <si>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</si>
  <si>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</si>
  <si>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</si>
  <si>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</si>
  <si>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</si>
  <si>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</si>
  <si>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</si>
  <si>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</si>
  <si>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</si>
  <si>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</si>
  <si>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</si>
  <si>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</si>
  <si>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</si>
  <si>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</si>
  <si>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</si>
  <si>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</si>
  <si>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</si>
  <si>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</si>
  <si>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</si>
  <si>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</si>
  <si>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</si>
  <si>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</si>
  <si>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</si>
  <si>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</si>
  <si>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</si>
  <si>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</si>
  <si>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</si>
  <si>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</si>
  <si>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</si>
  <si>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</si>
  <si>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</si>
  <si>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</si>
  <si>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</si>
  <si>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</si>
  <si>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</si>
  <si>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</si>
  <si>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</si>
  <si>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</si>
  <si>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</si>
  <si>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</si>
  <si>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</si>
  <si>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</si>
  <si>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</si>
  <si>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</si>
  <si>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</si>
  <si>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</si>
  <si>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</si>
  <si>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</si>
  <si>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</si>
  <si>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</si>
  <si>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</si>
  <si>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</si>
  <si>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</si>
  <si>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</si>
  <si>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</si>
  <si>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</si>
  <si>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</si>
  <si>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</si>
  <si>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</si>
  <si>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</si>
  <si>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</si>
  <si>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</si>
  <si>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</si>
  <si>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</si>
  <si>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</si>
  <si>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</si>
  <si>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</si>
  <si>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</si>
  <si>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</si>
  <si>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</si>
  <si>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</si>
  <si>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</si>
  <si>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</si>
  <si>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</si>
  <si>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</si>
  <si>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</si>
  <si>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</si>
  <si>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</si>
  <si>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</si>
  <si>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</si>
  <si>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</si>
  <si>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</si>
  <si>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</si>
  <si>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</si>
  <si>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</si>
  <si>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</si>
  <si>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</si>
  <si>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</si>
  <si>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</si>
  <si>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</si>
  <si>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</si>
  <si>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</si>
  <si>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</si>
  <si>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</si>
  <si>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</si>
  <si>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</si>
  <si>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</si>
  <si>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</si>
  <si>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</si>
  <si>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</si>
  <si>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</si>
  <si>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</si>
  <si>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</si>
  <si>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</si>
  <si>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</si>
  <si>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</si>
  <si>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</si>
  <si>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</si>
  <si>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</si>
  <si>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</si>
  <si>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</si>
  <si>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</si>
  <si>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</si>
  <si>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</si>
  <si>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</si>
  <si>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</si>
  <si>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</si>
  <si>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</si>
  <si>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</si>
  <si>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</si>
  <si>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</si>
  <si>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</si>
  <si>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</si>
  <si>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</si>
  <si>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</si>
  <si>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</si>
  <si>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</si>
  <si>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</si>
  <si>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</si>
  <si>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</si>
  <si>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</si>
  <si>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</si>
  <si>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</si>
  <si>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</si>
  <si>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</si>
  <si>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</si>
  <si>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</si>
  <si>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</si>
  <si>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</si>
  <si>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</si>
  <si>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</si>
  <si>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</si>
  <si>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</si>
  <si>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</si>
  <si>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</si>
  <si>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</si>
  <si>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</si>
  <si>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</si>
  <si>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</si>
  <si>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</si>
  <si>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</si>
  <si>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</si>
  <si>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</si>
  <si>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</si>
  <si>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</si>
  <si>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</si>
  <si>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</si>
  <si>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</si>
  <si>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</si>
  <si>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</si>
  <si>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</si>
  <si>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</si>
  <si>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</si>
  <si>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</si>
  <si>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</si>
  <si>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</si>
  <si>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</si>
  <si>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</si>
  <si>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</si>
  <si>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</si>
  <si>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</si>
  <si>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</si>
  <si>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</si>
  <si>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</si>
  <si>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</si>
  <si>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</si>
  <si>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</si>
  <si>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</si>
  <si>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</si>
  <si>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</si>
  <si>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</si>
  <si>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</si>
  <si>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</si>
  <si>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</si>
  <si>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</si>
  <si>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</si>
  <si>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</si>
  <si>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</si>
  <si>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</si>
  <si>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</si>
  <si>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</si>
  <si>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</si>
  <si>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</si>
  <si>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</si>
  <si>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</si>
  <si>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</si>
  <si>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</si>
  <si>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</si>
  <si>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</si>
  <si>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</si>
  <si>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</si>
  <si>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</si>
  <si>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</si>
  <si>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</si>
  <si>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</si>
  <si>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</si>
  <si>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</si>
  <si>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</si>
  <si>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</si>
  <si>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</si>
  <si>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</si>
  <si>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</si>
  <si>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</si>
  <si>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</si>
  <si>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</si>
  <si>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</si>
  <si>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</si>
  <si>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</si>
  <si>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</si>
  <si>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</si>
  <si>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</si>
  <si>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</si>
  <si>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</si>
  <si>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</si>
  <si>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</si>
  <si>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</si>
  <si>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</si>
  <si>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</si>
  <si>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</si>
  <si>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</si>
  <si>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</si>
  <si>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</si>
  <si>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</si>
  <si>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</si>
  <si>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</si>
  <si>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</si>
  <si>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</si>
  <si>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</si>
  <si>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</si>
  <si>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</si>
  <si>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</si>
  <si>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</si>
  <si>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</si>
  <si>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</si>
  <si>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</si>
  <si>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</si>
  <si>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</si>
  <si>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</si>
  <si>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</si>
  <si>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</si>
  <si>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</si>
  <si>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</si>
  <si>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</si>
  <si>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</si>
  <si>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</si>
  <si>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</si>
  <si>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</si>
  <si>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</si>
  <si>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</si>
  <si>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</si>
  <si>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</si>
  <si>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</si>
  <si>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</si>
  <si>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</si>
  <si>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</si>
  <si>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</si>
  <si>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</si>
  <si>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</si>
  <si>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</si>
  <si>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</si>
  <si>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</si>
  <si>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</si>
  <si>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</si>
  <si>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</si>
  <si>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</si>
  <si>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</si>
  <si>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</si>
  <si>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</si>
  <si>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</si>
  <si>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</si>
  <si>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</si>
  <si>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</si>
  <si>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</si>
  <si>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</si>
  <si>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</si>
  <si>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</si>
  <si>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</si>
  <si>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</si>
  <si>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</si>
  <si>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</si>
  <si>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</si>
  <si>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</si>
  <si>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</si>
  <si>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</si>
  <si>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</si>
  <si>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</si>
  <si>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</si>
  <si>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</si>
  <si>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</si>
  <si>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</si>
  <si>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</si>
  <si>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</si>
  <si>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</si>
  <si>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</si>
  <si>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</si>
  <si>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</si>
  <si>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</si>
  <si>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</si>
  <si>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</si>
  <si>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</si>
  <si>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</si>
  <si>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</si>
  <si>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</si>
  <si>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</si>
  <si>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</si>
  <si>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</si>
  <si>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</si>
  <si>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</si>
  <si>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</si>
  <si>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</si>
  <si>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</si>
  <si>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</si>
  <si>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</si>
  <si>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</si>
  <si>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</si>
  <si>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</si>
  <si>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</si>
  <si>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</si>
  <si>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</si>
  <si>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</si>
  <si>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</si>
  <si>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</si>
  <si>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</si>
  <si>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</si>
  <si>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</si>
  <si>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</si>
  <si>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</si>
  <si>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</si>
  <si>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</si>
  <si>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</si>
  <si>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</si>
  <si>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</si>
  <si>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</si>
  <si>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</si>
  <si>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</si>
  <si>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</si>
  <si>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</si>
  <si>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</si>
  <si>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</si>
  <si>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</si>
  <si>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</si>
  <si>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</si>
  <si>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</si>
  <si>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</si>
  <si>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</si>
  <si>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</si>
  <si>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</si>
  <si>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</si>
  <si>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</si>
  <si>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</si>
  <si>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</si>
  <si>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</si>
  <si>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</si>
  <si>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</si>
  <si>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</si>
  <si>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</si>
  <si>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</si>
  <si>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</si>
  <si>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</si>
  <si>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</si>
  <si>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</si>
  <si>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</si>
  <si>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</si>
  <si>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</si>
  <si>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</si>
  <si>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</si>
  <si>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</si>
  <si>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</si>
  <si>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</si>
  <si>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</si>
  <si>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</si>
  <si>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</si>
  <si>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</si>
  <si>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</si>
  <si>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</si>
  <si>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</si>
  <si>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</si>
  <si>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</si>
  <si>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</si>
  <si>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</si>
  <si>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</si>
  <si>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</si>
  <si>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</si>
  <si>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</si>
  <si>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</si>
  <si>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</si>
  <si>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</si>
  <si>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</si>
  <si>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</si>
  <si>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</si>
  <si>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</si>
  <si>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</si>
  <si>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</si>
  <si>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</si>
  <si>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</si>
  <si>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</si>
  <si>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</si>
  <si>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</si>
  <si>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</si>
  <si>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</si>
  <si>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</si>
  <si>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</si>
  <si>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</si>
  <si>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</si>
  <si>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</si>
  <si>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</si>
  <si>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</si>
  <si>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</si>
  <si>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</si>
  <si>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</si>
  <si>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</si>
  <si>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</si>
  <si>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</si>
  <si>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</si>
  <si>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</si>
  <si>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</si>
  <si>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</si>
  <si>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</si>
  <si>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</si>
  <si>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</si>
  <si>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</si>
  <si>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</si>
  <si>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</si>
  <si>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</si>
  <si>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</si>
  <si>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</si>
  <si>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</si>
  <si>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</si>
  <si>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</si>
  <si>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</si>
  <si>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</si>
  <si>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</si>
  <si>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</si>
  <si>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</si>
  <si>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</si>
  <si>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</si>
  <si>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</si>
  <si>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</si>
  <si>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</si>
  <si>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</si>
  <si>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</si>
  <si>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</si>
  <si>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</si>
  <si>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</si>
  <si>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</si>
  <si>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</si>
  <si>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</si>
  <si>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</si>
  <si>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</si>
  <si>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</si>
  <si>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</si>
  <si>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</si>
  <si>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</si>
  <si>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</si>
  <si>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</si>
  <si>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</si>
  <si>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</si>
  <si>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</si>
  <si>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</si>
  <si>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</si>
  <si>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</si>
  <si>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</si>
  <si>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</si>
  <si>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</si>
  <si>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</si>
  <si>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</si>
  <si>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</si>
  <si>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</si>
  <si>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</si>
  <si>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</si>
  <si>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</si>
  <si>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</si>
  <si>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</si>
  <si>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</si>
  <si>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</si>
  <si>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</si>
  <si>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</si>
  <si>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</si>
  <si>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</si>
  <si>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</si>
  <si>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</si>
  <si>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</si>
  <si>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</si>
  <si>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</si>
  <si>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</si>
  <si>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</si>
  <si>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</si>
  <si>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</si>
  <si>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</si>
  <si>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</si>
  <si>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</si>
  <si>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</si>
  <si>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</si>
  <si>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</si>
  <si>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</si>
  <si>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</si>
  <si>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</si>
  <si>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</si>
  <si>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</si>
  <si>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</si>
  <si>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</si>
  <si>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</si>
  <si>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</si>
  <si>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</si>
  <si>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</si>
  <si>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</si>
  <si>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</si>
  <si>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</si>
  <si>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</si>
  <si>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</si>
  <si>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</si>
  <si>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</si>
  <si>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</si>
  <si>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</si>
  <si>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</si>
  <si>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</si>
  <si>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</si>
  <si>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</si>
  <si>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</si>
  <si>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</si>
  <si>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</si>
  <si>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</si>
  <si>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</si>
  <si>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</si>
  <si>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</si>
  <si>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</si>
  <si>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</si>
  <si>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</si>
  <si>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</si>
  <si>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</si>
  <si>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</si>
  <si>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</si>
  <si>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</si>
  <si>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</si>
  <si>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</si>
  <si>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</si>
  <si>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</si>
  <si>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</si>
  <si>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</si>
  <si>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</si>
  <si>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</si>
  <si>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</si>
  <si>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</si>
  <si>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</si>
  <si>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</si>
  <si>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</si>
  <si>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</si>
  <si>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</si>
  <si>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</si>
  <si>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</si>
  <si>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</si>
  <si>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</si>
  <si>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</si>
  <si>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</si>
  <si>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</si>
  <si>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</si>
  <si>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</si>
  <si>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</si>
  <si>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</si>
  <si>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</si>
  <si>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</si>
  <si>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</si>
  <si>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</si>
  <si>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</si>
  <si>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</si>
  <si>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</si>
  <si>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</si>
  <si>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</si>
  <si>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</si>
  <si>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</si>
  <si>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</si>
  <si>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</si>
  <si>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</si>
  <si>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</si>
  <si>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</si>
  <si>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</si>
  <si>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</si>
  <si>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</si>
  <si>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</si>
  <si>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</si>
  <si>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</si>
  <si>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</si>
  <si>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</si>
  <si>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</si>
  <si>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</si>
  <si>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</si>
  <si>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</si>
  <si>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</si>
  <si>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</si>
  <si>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</si>
  <si>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</si>
  <si>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</si>
  <si>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</si>
  <si>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</si>
  <si>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</si>
  <si>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</si>
  <si>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</si>
  <si>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</si>
  <si>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</si>
  <si>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</si>
  <si>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</si>
  <si>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</si>
  <si>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</si>
  <si>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</si>
  <si>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</si>
  <si>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</si>
  <si>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</si>
  <si>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</si>
  <si>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</si>
  <si>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</si>
  <si>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</si>
  <si>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</si>
  <si>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</si>
  <si>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</si>
  <si>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</si>
  <si>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</si>
  <si>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</si>
  <si>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</si>
  <si>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</si>
  <si>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</si>
  <si>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</si>
  <si>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</si>
  <si>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</si>
  <si>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</si>
  <si>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</si>
  <si>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</si>
  <si>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</si>
  <si>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</si>
  <si>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</si>
  <si>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</si>
  <si>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</si>
  <si>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</si>
  <si>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</si>
  <si>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</si>
  <si>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</si>
  <si>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</si>
  <si>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</si>
  <si>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</si>
  <si>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</si>
  <si>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</si>
  <si>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</si>
  <si>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</si>
  <si>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</si>
  <si>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</si>
  <si>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</si>
  <si>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</si>
  <si>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</si>
  <si>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</si>
  <si>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</si>
  <si>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</si>
  <si>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</si>
  <si>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</si>
  <si>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</si>
  <si>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</si>
  <si>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</si>
  <si>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</si>
  <si>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</si>
  <si>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</si>
  <si>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</si>
  <si>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</si>
  <si>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</si>
  <si>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</si>
  <si>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</si>
  <si>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</si>
  <si>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</si>
  <si>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</si>
  <si>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</si>
  <si>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</si>
  <si>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</si>
  <si>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</si>
  <si>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</si>
  <si>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</si>
  <si>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</si>
  <si>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</si>
  <si>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</si>
  <si>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</si>
  <si>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</si>
  <si>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</si>
  <si>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</si>
  <si>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</si>
  <si>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</si>
  <si>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</si>
  <si>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</si>
  <si>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</si>
  <si>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</si>
  <si>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</si>
  <si>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</si>
  <si>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</si>
  <si>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</si>
  <si>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</si>
  <si>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</si>
  <si>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</si>
  <si>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</si>
  <si>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</si>
  <si>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</si>
  <si>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</si>
  <si>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</si>
  <si>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</si>
  <si>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</si>
  <si>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</si>
  <si>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</si>
  <si>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</si>
  <si>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</si>
  <si>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</si>
  <si>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</si>
  <si>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</si>
  <si>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</si>
  <si>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</si>
  <si>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</si>
  <si>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</si>
  <si>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</si>
  <si>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</si>
  <si>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</si>
  <si>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</si>
  <si>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</si>
  <si>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</si>
  <si>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</si>
  <si>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</si>
  <si>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</si>
  <si>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</si>
  <si>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</si>
  <si>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</si>
  <si>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</si>
  <si>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</si>
  <si>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</si>
  <si>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</si>
  <si>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</si>
  <si>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</si>
  <si>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</si>
  <si>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</si>
  <si>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</si>
  <si>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</si>
  <si>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</si>
  <si>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</si>
  <si>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</si>
  <si>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</si>
  <si>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</si>
  <si>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</si>
  <si>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</si>
  <si>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</si>
  <si>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</si>
  <si>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</si>
  <si>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</si>
  <si>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</si>
  <si>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</si>
  <si>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</si>
  <si>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</si>
  <si>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</si>
  <si>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</si>
  <si>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</si>
  <si>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</si>
  <si>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</si>
  <si>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</si>
  <si>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</si>
  <si>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</si>
  <si>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</si>
  <si>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</si>
  <si>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</si>
  <si>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</si>
  <si>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</si>
  <si>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</si>
  <si>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</si>
  <si>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</si>
  <si>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</si>
  <si>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</si>
  <si>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</si>
  <si>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</si>
  <si>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</si>
  <si>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</si>
  <si>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</si>
  <si>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</si>
  <si>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</si>
  <si>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</si>
  <si>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</si>
  <si>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</si>
  <si>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</si>
  <si>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</si>
  <si>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</si>
  <si>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</si>
  <si>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</si>
  <si>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</si>
  <si>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</si>
  <si>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</si>
  <si>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</si>
  <si>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</si>
  <si>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</si>
  <si>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</si>
  <si>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</si>
  <si>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</si>
  <si>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</si>
  <si>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</si>
  <si>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</si>
  <si>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</si>
  <si>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</si>
  <si>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</si>
  <si>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</si>
  <si>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</si>
  <si>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</si>
  <si>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</si>
  <si>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</si>
  <si>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</si>
  <si>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</si>
  <si>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</si>
  <si>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</si>
  <si>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</si>
  <si>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</si>
  <si>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</si>
  <si>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</si>
  <si>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</si>
  <si>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</si>
  <si>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</si>
  <si>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</si>
  <si>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</si>
  <si>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</si>
  <si>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</si>
  <si>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</si>
  <si>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</si>
  <si>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</si>
  <si>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</si>
  <si>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</si>
  <si>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</si>
  <si>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</si>
  <si>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</si>
  <si>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</si>
  <si>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</si>
  <si>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</si>
  <si>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</si>
  <si>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</si>
  <si>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</si>
  <si>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</si>
  <si>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</si>
  <si>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</si>
  <si>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</si>
  <si>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</si>
  <si>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</si>
  <si>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</si>
  <si>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</si>
  <si>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</si>
  <si>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</si>
  <si>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</si>
  <si>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</si>
  <si>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</si>
  <si>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</si>
  <si>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</si>
  <si>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</si>
  <si>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</si>
  <si>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</si>
  <si>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</si>
  <si>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</si>
  <si>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</si>
  <si>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</si>
  <si>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</si>
  <si>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</si>
  <si>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</si>
  <si>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</si>
  <si>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</si>
  <si>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</si>
  <si>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</si>
  <si>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</si>
  <si>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</si>
  <si>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</si>
  <si>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</si>
  <si>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</si>
  <si>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</si>
  <si>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</si>
  <si>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</si>
  <si>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</si>
  <si>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</si>
  <si>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</si>
  <si>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</si>
  <si>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</si>
  <si>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</si>
  <si>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</si>
  <si>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</si>
  <si>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</si>
  <si>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</si>
  <si>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</si>
  <si>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</si>
  <si>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</si>
  <si>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</si>
  <si>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</si>
  <si>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</si>
  <si>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</si>
  <si>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</si>
  <si>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</si>
  <si>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</si>
  <si>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</si>
  <si>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</si>
  <si>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</si>
  <si>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</si>
  <si>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</si>
  <si>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</si>
  <si>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</si>
  <si>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</si>
  <si>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</si>
  <si>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</si>
  <si>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</si>
  <si>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</si>
  <si>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</si>
  <si>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</si>
  <si>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</si>
  <si>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</si>
  <si>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</si>
  <si>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</si>
  <si>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</si>
  <si>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</si>
  <si>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</si>
  <si>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</si>
  <si>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</si>
  <si>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</si>
  <si>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</si>
  <si>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</si>
  <si>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</si>
  <si>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</si>
  <si>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</si>
  <si>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</si>
  <si>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</si>
  <si>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</si>
  <si>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</si>
  <si>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</si>
  <si>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</si>
  <si>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</si>
  <si>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</si>
  <si>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</si>
  <si>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</si>
  <si>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</si>
  <si>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</si>
  <si>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</si>
  <si>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</si>
  <si>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</si>
  <si>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</si>
  <si>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</si>
  <si>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</si>
  <si>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</si>
  <si>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</si>
  <si>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</si>
  <si>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</si>
  <si>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</si>
  <si>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</si>
  <si>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</si>
  <si>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</si>
  <si>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</si>
  <si>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</si>
  <si>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</si>
  <si>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</si>
  <si>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</si>
  <si>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</si>
  <si>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</si>
  <si>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</si>
  <si>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</si>
  <si>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</si>
  <si>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</si>
  <si>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</si>
  <si>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</si>
  <si>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</si>
  <si>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</si>
  <si>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</si>
  <si>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</si>
  <si>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</si>
  <si>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</si>
  <si>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</si>
  <si>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</si>
  <si>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</si>
  <si>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</si>
  <si>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</si>
  <si>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</si>
  <si>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</si>
  <si>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</si>
  <si>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</si>
  <si>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</si>
  <si>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</si>
  <si>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</si>
  <si>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</si>
  <si>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</si>
  <si>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</si>
  <si>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</si>
  <si>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</si>
  <si>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</si>
  <si>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</si>
  <si>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</si>
  <si>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</si>
  <si>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</si>
  <si>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</si>
  <si>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</si>
  <si>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</si>
  <si>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</si>
  <si>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</si>
  <si>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</si>
  <si>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</si>
  <si>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</si>
  <si>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</si>
  <si>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</si>
  <si>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</si>
  <si>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</si>
  <si>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</si>
  <si>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</si>
  <si>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</si>
  <si>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</si>
  <si>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</si>
  <si>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</si>
  <si>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</si>
  <si>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</si>
  <si>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</si>
  <si>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</si>
  <si>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</si>
  <si>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</si>
  <si>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</si>
  <si>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</si>
  <si>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</si>
  <si>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</si>
  <si>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</si>
  <si>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</si>
  <si>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</si>
  <si>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</si>
  <si>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</si>
  <si>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</si>
  <si>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</si>
  <si>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</si>
  <si>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</si>
  <si>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</si>
  <si>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</si>
  <si>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</si>
  <si>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</si>
  <si>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</si>
  <si>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</si>
  <si>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</si>
  <si>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</si>
  <si>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</si>
  <si>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</si>
  <si>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</si>
  <si>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</si>
  <si>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</si>
  <si>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</si>
  <si>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</si>
  <si>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</si>
  <si>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</si>
  <si>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</si>
  <si>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</si>
  <si>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</si>
  <si>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</si>
  <si>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</si>
  <si>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</si>
  <si>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</si>
  <si>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</si>
  <si>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</si>
  <si>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</si>
  <si>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</si>
  <si>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</si>
  <si>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</si>
  <si>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Category</t>
  </si>
  <si>
    <t>Category  and Subcategory</t>
  </si>
  <si>
    <t>Success per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</si>
  <si>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</si>
  <si>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</si>
  <si>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</si>
  <si>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</si>
  <si>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</si>
  <si>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</si>
  <si>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</si>
  <si>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</si>
  <si>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</si>
  <si>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</si>
  <si>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</si>
  <si>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</si>
  <si>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</si>
  <si>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</si>
  <si>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Chart is based on Category Sheet's current data settings</t>
  </si>
  <si>
    <t>Failure per  Category</t>
  </si>
  <si>
    <t>Name</t>
  </si>
  <si>
    <t>Blurb</t>
  </si>
  <si>
    <t>Goal</t>
  </si>
  <si>
    <t>Pledged</t>
  </si>
  <si>
    <t>On a quick glance we can see that 'Walken on Sunshine' is successful</t>
  </si>
  <si>
    <t>Number of Backers</t>
  </si>
  <si>
    <t>We have an average donation of  $71.24 with 173 backers</t>
  </si>
  <si>
    <t>Goal have been surpassed by $2,325</t>
  </si>
  <si>
    <t>(All)</t>
  </si>
  <si>
    <t>Number Successful</t>
  </si>
  <si>
    <t>Campainging Days</t>
  </si>
  <si>
    <t>Less than 1000</t>
  </si>
  <si>
    <t>1000 to 4999</t>
  </si>
  <si>
    <t>5000 to 9999</t>
  </si>
  <si>
    <t>10000 to14999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</si>
  <si>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</si>
  <si>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</si>
  <si>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</si>
  <si>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</si>
  <si>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</si>
  <si>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</si>
  <si>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</si>
  <si>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</si>
  <si>
    <t>Number of Failed</t>
  </si>
  <si>
    <t>Total Projects (excluding Live)</t>
  </si>
  <si>
    <t>Total Projects (including Live)</t>
  </si>
  <si>
    <t>Goal Outcome (Including Live)</t>
  </si>
  <si>
    <t>Goal Funded (Live)</t>
  </si>
  <si>
    <t>Underfunded (Live)</t>
  </si>
  <si>
    <t>Number of Canceled</t>
  </si>
  <si>
    <t>by omitting↑ outcome parameter</t>
  </si>
  <si>
    <t>Total</t>
  </si>
  <si>
    <t>using the sum of columns↑</t>
  </si>
  <si>
    <t>both number should tally</t>
  </si>
  <si>
    <t>Counting 'Goal Funded'  as Successful and counting 'Underfunded' as Failure</t>
  </si>
  <si>
    <t>Percentage Successful</t>
  </si>
  <si>
    <t>Percentage Failed</t>
  </si>
  <si>
    <t>Percentage Canceled</t>
  </si>
  <si>
    <t>there is one instance in tech where it was cancelled even tho they were able to fully fund the campaign</t>
  </si>
  <si>
    <t>Duration</t>
  </si>
  <si>
    <t>8 to 14 days</t>
  </si>
  <si>
    <t xml:space="preserve"> 7 days and less</t>
  </si>
  <si>
    <t>15 to 21 days</t>
  </si>
  <si>
    <t>22 to 28 days</t>
  </si>
  <si>
    <t>29 to 35 day</t>
  </si>
  <si>
    <t>36 to 42 days</t>
  </si>
  <si>
    <t>43 to 49 days</t>
  </si>
  <si>
    <t>More than 50 days</t>
  </si>
  <si>
    <t xml:space="preserve">Counting 'Goal Funded'  as Successful and counting 'Underfunded' as Failure	
	</t>
  </si>
  <si>
    <t>The duration of the campaingn is 30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</si>
</sst>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C00000"/>
      <name val="Calibri (Body)"/>
    </font>
    <font>
      <sz val="11"/>
      <color rgb="FF333333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 (Body)"/>
    </font>
    <font>
      <sz val="11"/>
      <color theme="2" tint="-9.9978637043366805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A6A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CF300"/>
        <bgColor indexed="64"/>
      </patternFill>
    </fill>
    <fill>
      <patternFill patternType="solid">
        <fgColor rgb="FFB6FFE7"/>
        <bgColor indexed="64"/>
      </patternFill>
    </fill>
  </fills>
  <borders count="16">
    <border>
      <left/>
      <right/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/>
      <top style="thin">
        <color theme="2" tint="-9.9978637043366805E-2"/>
      </top>
      <bottom/>
      <diagonal/>
    </border>
    <border>
      <left style="thin">
        <color theme="2" tint="-9.9978637043366805E-2"/>
      </left>
      <right/>
      <top/>
      <bottom/>
      <diagonal/>
    </border>
    <border>
      <left style="thin">
        <color theme="2" tint="-9.9978637043366805E-2"/>
      </left>
      <right/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/>
      <diagonal/>
    </border>
    <border>
      <left/>
      <right style="thin">
        <color theme="2" tint="-9.9978637043366805E-2"/>
      </right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 style="thin">
        <color theme="2" tint="-9.9978637043366805E-2"/>
      </bottom>
      <diagonal/>
    </border>
    <border>
      <left/>
      <right style="thin">
        <color theme="2" tint="-9.9978637043366805E-2"/>
      </right>
      <top style="thin">
        <color theme="2" tint="-9.9978637043366805E-2"/>
      </top>
      <bottom/>
      <diagonal/>
    </border>
    <border>
      <left/>
      <right style="thin">
        <color theme="2" tint="-9.9978637043366805E-2"/>
      </right>
      <top/>
      <bottom/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/>
      <bottom style="thin">
        <color theme="2" tint="-9.9978637043366805E-2"/>
      </bottom>
      <diagonal/>
    </border>
    <border>
      <left style="thin">
        <color theme="2" tint="-9.9978637043366805E-2"/>
      </left>
      <right/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 style="thin">
        <color theme="2" tint="-9.9978637043366805E-2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/>
      <right/>
      <top style="thin">
        <color theme="2" tint="-9.9978637043366805E-2"/>
      </top>
      <bottom style="thin">
        <color theme="2" tint="-9.9978637043366805E-2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9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4" borderId="0" xfId="0" applyFill="1"/>
    <xf numFmtId="0" fontId="4" fillId="4" borderId="0" xfId="0" applyFont="1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9" fontId="3" fillId="6" borderId="1" xfId="1" applyNumberFormat="1" applyFont="1" applyFill="1" applyBorder="1"/>
    <xf numFmtId="9" fontId="3" fillId="6" borderId="6" xfId="1" applyNumberFormat="1" applyFont="1" applyFill="1" applyBorder="1"/>
    <xf numFmtId="9" fontId="3" fillId="6" borderId="7" xfId="1" applyNumberFormat="1" applyFont="1" applyFill="1" applyBorder="1"/>
    <xf numFmtId="9" fontId="3" fillId="6" borderId="5" xfId="1" applyNumberFormat="1" applyFont="1" applyFill="1" applyBorder="1"/>
    <xf numFmtId="0" fontId="0" fillId="0" borderId="8" xfId="0" applyBorder="1"/>
    <xf numFmtId="0" fontId="0" fillId="0" borderId="9" xfId="0" applyBorder="1"/>
    <xf numFmtId="0" fontId="0" fillId="0" borderId="6" xfId="0" applyBorder="1"/>
    <xf numFmtId="9" fontId="3" fillId="6" borderId="10" xfId="1" applyNumberFormat="1" applyFont="1" applyFill="1" applyBorder="1"/>
    <xf numFmtId="9" fontId="3" fillId="6" borderId="9" xfId="1" applyNumberFormat="1" applyFont="1" applyFill="1" applyBorder="1"/>
    <xf numFmtId="9" fontId="3" fillId="6" borderId="8" xfId="1" applyNumberFormat="1" applyFont="1" applyFill="1" applyBorder="1"/>
    <xf numFmtId="0" fontId="0" fillId="0" borderId="12" xfId="0" applyBorder="1"/>
    <xf numFmtId="0" fontId="0" fillId="0" borderId="13" xfId="0" applyBorder="1"/>
    <xf numFmtId="0" fontId="0" fillId="0" borderId="10" xfId="0" applyBorder="1"/>
    <xf numFmtId="9" fontId="3" fillId="6" borderId="14" xfId="1" applyNumberFormat="1" applyFont="1" applyFill="1" applyBorder="1"/>
    <xf numFmtId="0" fontId="0" fillId="0" borderId="0" xfId="0" applyNumberFormat="1" applyFont="1" applyBorder="1"/>
    <xf numFmtId="0" fontId="0" fillId="0" borderId="0" xfId="0" applyFont="1" applyBorder="1"/>
    <xf numFmtId="0" fontId="2" fillId="0" borderId="0" xfId="0" applyFont="1" applyBorder="1"/>
    <xf numFmtId="0" fontId="0" fillId="0" borderId="3" xfId="0" applyNumberFormat="1" applyFont="1" applyBorder="1"/>
    <xf numFmtId="0" fontId="0" fillId="5" borderId="3" xfId="0" applyFill="1" applyBorder="1"/>
    <xf numFmtId="0" fontId="0" fillId="5" borderId="9" xfId="0" applyFill="1" applyBorder="1"/>
    <xf numFmtId="9" fontId="3" fillId="6" borderId="3" xfId="1" applyNumberFormat="1" applyFont="1" applyFill="1" applyBorder="1"/>
    <xf numFmtId="0" fontId="0" fillId="0" borderId="12" xfId="0" pivotButton="1" applyBorder="1"/>
    <xf numFmtId="0" fontId="2" fillId="0" borderId="11" xfId="0" applyNumberFormat="1" applyFont="1" applyBorder="1"/>
    <xf numFmtId="0" fontId="0" fillId="5" borderId="6" xfId="0" applyNumberFormat="1" applyFont="1" applyFill="1" applyBorder="1"/>
    <xf numFmtId="0" fontId="0" fillId="0" borderId="2" xfId="0" applyNumberFormat="1" applyFont="1" applyBorder="1"/>
    <xf numFmtId="0" fontId="0" fillId="0" borderId="13" xfId="0" applyNumberFormat="1" applyFont="1" applyBorder="1"/>
    <xf numFmtId="0" fontId="2" fillId="0" borderId="4" xfId="0" applyNumberFormat="1" applyFont="1" applyBorder="1"/>
    <xf numFmtId="0" fontId="0" fillId="0" borderId="1" xfId="0" pivotButton="1" applyBorder="1"/>
    <xf numFmtId="0" fontId="0" fillId="0" borderId="15" xfId="0" applyBorder="1"/>
    <xf numFmtId="0" fontId="0" fillId="0" borderId="14" xfId="0" applyFont="1" applyBorder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5" borderId="9" xfId="0" applyFont="1" applyFill="1" applyBorder="1" applyAlignment="1">
      <alignment wrapText="1"/>
    </xf>
    <xf numFmtId="0" fontId="2" fillId="5" borderId="3" xfId="0" applyFont="1" applyFill="1" applyBorder="1" applyAlignment="1">
      <alignment horizontal="center" vertical="center" wrapText="1"/>
    </xf>
    <xf numFmtId="0" fontId="0" fillId="3" borderId="0" xfId="0" applyFill="1"/>
    <xf numFmtId="0" fontId="0" fillId="3" borderId="0" xfId="0" quotePrefix="1" applyFill="1"/>
    <xf numFmtId="164" fontId="5" fillId="0" borderId="0" xfId="0" applyNumberFormat="1" applyFont="1"/>
    <xf numFmtId="1" fontId="0" fillId="0" borderId="0" xfId="0" applyNumberFormat="1"/>
    <xf numFmtId="1" fontId="2" fillId="0" borderId="0" xfId="0" applyNumberFormat="1" applyFont="1"/>
    <xf numFmtId="0" fontId="0" fillId="5" borderId="0" xfId="0" applyFill="1"/>
    <xf numFmtId="164" fontId="0" fillId="5" borderId="0" xfId="0" applyNumberFormat="1" applyFill="1" applyAlignment="1">
      <alignment horizontal="center"/>
    </xf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7" fillId="0" borderId="0" xfId="0" applyFont="1"/>
    <xf numFmtId="0" fontId="0" fillId="5" borderId="0" xfId="0" applyFill="1" applyAlignment="1">
      <alignment vertical="top" wrapText="1"/>
    </xf>
    <xf numFmtId="0" fontId="0" fillId="7" borderId="0" xfId="0" applyFill="1" applyAlignment="1">
      <alignment wrapText="1"/>
    </xf>
    <xf numFmtId="0" fontId="0" fillId="8" borderId="0" xfId="0" applyFill="1" applyAlignment="1">
      <alignment wrapText="1"/>
    </xf>
    <xf numFmtId="0" fontId="0" fillId="9" borderId="0" xfId="0" applyFill="1" applyAlignment="1">
      <alignment wrapText="1"/>
    </xf>
    <xf numFmtId="0" fontId="0" fillId="5" borderId="0" xfId="0" applyFill="1" applyAlignment="1">
      <alignment horizontal="center" wrapText="1"/>
    </xf>
    <xf numFmtId="9" fontId="0" fillId="0" borderId="0" xfId="2" applyNumberFormat="1" applyFont="1"/>
    <xf numFmtId="9" fontId="0" fillId="0" borderId="0" xfId="0" applyNumberFormat="1"/>
    <xf numFmtId="0" fontId="8" fillId="0" borderId="0" xfId="0" applyFont="1"/>
    <xf numFmtId="0" fontId="0" fillId="10" borderId="0" xfId="0" applyFill="1" applyAlignment="1">
      <alignment wrapText="1"/>
    </xf>
    <xf numFmtId="0" fontId="0" fillId="10" borderId="0" xfId="0" applyNumberFormat="1" applyFill="1" applyAlignment="1">
      <alignment wrapText="1"/>
    </xf>
    <xf numFmtId="0" fontId="3" fillId="0" borderId="0" xfId="3"/>
    <xf numFmtId="0" fontId="3" fillId="10" borderId="0" xfId="3" applyFill="1" applyAlignment="1">
      <alignment wrapText="1"/>
    </xf>
    <xf numFmtId="0" fontId="3" fillId="7" borderId="0" xfId="3" applyFill="1" applyAlignment="1">
      <alignment wrapText="1"/>
    </xf>
    <xf numFmtId="0" fontId="3" fillId="8" borderId="0" xfId="3" applyFill="1" applyAlignment="1">
      <alignment wrapText="1"/>
    </xf>
    <xf numFmtId="0" fontId="3" fillId="9" borderId="0" xfId="3" applyFill="1" applyAlignment="1">
      <alignment wrapText="1"/>
    </xf>
    <xf numFmtId="0" fontId="3" fillId="0" borderId="0" xfId="3" applyAlignment="1">
      <alignment wrapText="1"/>
    </xf>
    <xf numFmtId="0" fontId="3" fillId="0" borderId="0" xfId="3" applyAlignment="1">
      <alignment horizontal="center"/>
    </xf>
    <xf numFmtId="0" fontId="6" fillId="0" borderId="0" xfId="3" applyFont="1"/>
    <xf numFmtId="9" fontId="3" fillId="0" borderId="0" xfId="3" applyNumberFormat="1"/>
    <xf numFmtId="9" fontId="0" fillId="0" borderId="0" xfId="4" applyFont="1"/>
    <xf numFmtId="0" fontId="3" fillId="5" borderId="0" xfId="3" applyFill="1" applyAlignment="1">
      <alignment horizontal="center" wrapText="1"/>
    </xf>
    <xf numFmtId="0" fontId="3" fillId="5" borderId="0" xfId="3" applyFill="1" applyAlignment="1">
      <alignment horizontal="center"/>
    </xf>
    <xf numFmtId="0" fontId="3" fillId="5" borderId="0" xfId="3" applyFill="1" applyAlignment="1">
      <alignment vertical="top" wrapText="1"/>
    </xf>
    <xf numFmtId="0" fontId="7" fillId="0" borderId="0" xfId="3" applyFont="1"/>
    <xf numFmtId="0" fontId="3" fillId="0" borderId="0" xfId="3"/>
    <xf numFmtId="9" fontId="6" fillId="0" borderId="0" xfId="3" applyNumberFormat="1" applyFont="1"/>
  </cellXfs>
  <cellStyles count="5">
    <cellStyle name="20% - Accent4" xfId="1" builtinId="42"/>
    <cellStyle name="Normal" xfId="0" builtinId="0"/>
    <cellStyle name="Normal 2" xfId="3" xr:uid="{0B326C94-DC6C-3944-8FC9-DA3FA7AFDEE4}"/>
    <cellStyle name="Percent" xfId="2" builtinId="5"/>
    <cellStyle name="Percent 2" xfId="4" xr:uid="{BC724090-F4D6-654B-A561-E0A6379F2793}"/>
  </cellStyles>
  <dxfs count="102">
    <dxf>
      <fill>
        <patternFill>
          <bgColor rgb="FFFFC7CE"/>
        </patternFill>
      </fill>
    </dxf>
    <dxf>
      <fill>
        <patternFill>
          <bgColor rgb="FFA3E5CF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none">
          <bgColor auto="1"/>
        </patternFill>
      </fill>
    </dxf>
    <dxf>
      <fill>
        <patternFill>
          <bgColor rgb="FF72E5BD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0070C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878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72E5BD"/>
        </patternFill>
      </fill>
    </dxf>
    <dxf>
      <fill>
        <patternFill>
          <bgColor rgb="FF72E5BD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right/>
        <bottom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right style="thin">
          <color theme="2" tint="-9.9978637043366805E-2"/>
        </right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border>
        <left style="thin">
          <color theme="2" tint="-9.9978637043366805E-2"/>
        </left>
        <right style="thin">
          <color theme="2" tint="-9.9978637043366805E-2"/>
        </right>
        <top style="thin">
          <color theme="2" tint="-9.9978637043366805E-2"/>
        </top>
        <bottom style="thin">
          <color theme="2" tint="-9.9978637043366805E-2"/>
        </bottom>
      </border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alignment horizontal="right"/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7878"/>
      <color rgb="FF72E5BD"/>
      <color rgb="FFFCF300"/>
      <color rgb="FFFFA6A8"/>
      <color rgb="FFB6FFE7"/>
      <color rgb="FF87E5C5"/>
      <color rgb="FFDC7C7E"/>
      <color rgb="FFA3E5CF"/>
      <color rgb="FFE2DA00"/>
      <color rgb="FFFFB6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[Starter_Book.xlsx]Outcome Based on Month Launched!PivotTable7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</a:t>
            </a:r>
            <a:r>
              <a:rPr lang="en-US"/>
              <a:t>Trends</a:t>
            </a:r>
          </a:p>
        </c:rich>
      </c:tx>
      <c:layout>
        <c:manualLayout>
          <c:xMode val="edge"/>
          <c:yMode val="edge"/>
          <c:x val="0.47253095869591683"/>
          <c:y val="6.5844614756827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E2DA00"/>
            </a:solidFill>
            <a:round/>
          </a:ln>
          <a:effectLst/>
        </c:spPr>
        <c:marker>
          <c:symbol val="circle"/>
          <c:size val="4"/>
          <c:spPr>
            <a:solidFill>
              <a:srgbClr val="E2DA00"/>
            </a:solidFill>
            <a:ln w="9525" cap="flat" cmpd="sng" algn="ctr">
              <a:solidFill>
                <a:schemeClr val="accent3">
                  <a:tint val="58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FF7878"/>
            </a:solidFill>
            <a:round/>
          </a:ln>
          <a:effectLst/>
        </c:spPr>
        <c:marker>
          <c:symbol val="circle"/>
          <c:size val="4"/>
          <c:spPr>
            <a:solidFill>
              <a:srgbClr val="FF7878"/>
            </a:solidFill>
            <a:ln w="9525" cap="flat" cmpd="sng" algn="ctr">
              <a:solidFill>
                <a:schemeClr val="accent3">
                  <a:tint val="8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0070C0"/>
            </a:solidFill>
            <a:round/>
          </a:ln>
          <a:effectLst/>
        </c:spPr>
        <c:marker>
          <c:symbol val="circle"/>
          <c:size val="4"/>
          <c:spPr>
            <a:solidFill>
              <a:srgbClr val="0070C0"/>
            </a:solidFill>
            <a:ln w="9525" cap="flat" cmpd="sng" algn="ctr">
              <a:solidFill>
                <a:schemeClr val="accent3">
                  <a:shade val="8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19E59E"/>
            </a:solidFill>
            <a:round/>
          </a:ln>
          <a:effectLst/>
        </c:spPr>
        <c:marker>
          <c:symbol val="circle"/>
          <c:size val="4"/>
          <c:spPr>
            <a:solidFill>
              <a:srgbClr val="19E59E"/>
            </a:solidFill>
            <a:ln w="9525" cap="flat" cmpd="sng" algn="ctr">
              <a:solidFill>
                <a:schemeClr val="accent3">
                  <a:shade val="58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E2DA00"/>
            </a:solidFill>
            <a:round/>
          </a:ln>
          <a:effectLst/>
        </c:spPr>
        <c:marker>
          <c:symbol val="circle"/>
          <c:size val="4"/>
          <c:spPr>
            <a:solidFill>
              <a:srgbClr val="E2DA00"/>
            </a:solidFill>
            <a:ln w="9525" cap="flat" cmpd="sng" algn="ctr">
              <a:solidFill>
                <a:schemeClr val="accent3">
                  <a:tint val="58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FF7878"/>
            </a:solidFill>
            <a:round/>
          </a:ln>
          <a:effectLst/>
        </c:spPr>
        <c:marker>
          <c:symbol val="circle"/>
          <c:size val="4"/>
          <c:spPr>
            <a:solidFill>
              <a:srgbClr val="FF7878"/>
            </a:solidFill>
            <a:ln w="9525" cap="flat" cmpd="sng" algn="ctr">
              <a:solidFill>
                <a:schemeClr val="accent3">
                  <a:tint val="8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0070C0"/>
            </a:solidFill>
            <a:round/>
          </a:ln>
          <a:effectLst/>
        </c:spPr>
        <c:marker>
          <c:symbol val="circle"/>
          <c:size val="4"/>
          <c:spPr>
            <a:solidFill>
              <a:srgbClr val="0070C0"/>
            </a:solidFill>
            <a:ln w="9525" cap="flat" cmpd="sng" algn="ctr">
              <a:solidFill>
                <a:schemeClr val="accent3">
                  <a:shade val="8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19E59E"/>
            </a:solidFill>
            <a:round/>
          </a:ln>
          <a:effectLst/>
        </c:spPr>
        <c:marker>
          <c:symbol val="circle"/>
          <c:size val="4"/>
          <c:spPr>
            <a:solidFill>
              <a:srgbClr val="19E59E"/>
            </a:solidFill>
            <a:ln w="9525" cap="flat" cmpd="sng" algn="ctr">
              <a:solidFill>
                <a:schemeClr val="accent3">
                  <a:shade val="58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2225" cap="rnd" cmpd="sng" algn="ctr">
            <a:solidFill>
              <a:srgbClr val="E2DA00"/>
            </a:solidFill>
            <a:round/>
          </a:ln>
          <a:effectLst/>
        </c:spPr>
        <c:marker>
          <c:symbol val="circle"/>
          <c:size val="4"/>
          <c:spPr>
            <a:solidFill>
              <a:srgbClr val="E2DA00"/>
            </a:solidFill>
            <a:ln w="9525" cap="flat" cmpd="sng" algn="ctr">
              <a:solidFill>
                <a:schemeClr val="accent3">
                  <a:tint val="58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2225" cap="rnd" cmpd="sng" algn="ctr">
            <a:solidFill>
              <a:srgbClr val="FF7878"/>
            </a:solidFill>
            <a:round/>
          </a:ln>
          <a:effectLst/>
        </c:spPr>
        <c:marker>
          <c:symbol val="circle"/>
          <c:size val="4"/>
          <c:spPr>
            <a:solidFill>
              <a:srgbClr val="FF7878"/>
            </a:solidFill>
            <a:ln w="9525" cap="flat" cmpd="sng" algn="ctr">
              <a:solidFill>
                <a:schemeClr val="accent3">
                  <a:tint val="8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2225" cap="rnd" cmpd="sng" algn="ctr">
            <a:solidFill>
              <a:srgbClr val="0070C0"/>
            </a:solidFill>
            <a:round/>
          </a:ln>
          <a:effectLst/>
        </c:spPr>
        <c:marker>
          <c:symbol val="circle"/>
          <c:size val="4"/>
          <c:spPr>
            <a:solidFill>
              <a:srgbClr val="0070C0"/>
            </a:solidFill>
            <a:ln w="9525" cap="flat" cmpd="sng" algn="ctr">
              <a:solidFill>
                <a:schemeClr val="accent3">
                  <a:shade val="8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2225" cap="rnd" cmpd="sng" algn="ctr">
            <a:solidFill>
              <a:srgbClr val="19E59E"/>
            </a:solidFill>
            <a:round/>
          </a:ln>
          <a:effectLst/>
        </c:spPr>
        <c:marker>
          <c:symbol val="circle"/>
          <c:size val="4"/>
          <c:spPr>
            <a:solidFill>
              <a:srgbClr val="19E59E"/>
            </a:solidFill>
            <a:ln w="9525" cap="flat" cmpd="sng" algn="ctr">
              <a:solidFill>
                <a:schemeClr val="accent3">
                  <a:shade val="58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3"/>
            </a:solidFill>
            <a:round/>
          </a:ln>
          <a:effectLst/>
        </c:spPr>
        <c:marker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Month Launched'!$B$3:$B$4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rgbClr val="E2DA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E2DA00"/>
              </a:solidFill>
              <a:ln w="9525" cap="flat" cmpd="sng" algn="ctr">
                <a:solidFill>
                  <a:schemeClr val="accent3">
                    <a:tint val="58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Month Launched'!$A$5:$A$17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Month Launched'!$B$5:$B$17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C-DF42-A911-AEC84106F735}"/>
            </c:ext>
          </c:extLst>
        </c:ser>
        <c:ser>
          <c:idx val="1"/>
          <c:order val="1"/>
          <c:tx>
            <c:strRef>
              <c:f>'Outcome Based on Month Launched'!$C$3:$C$4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FF7878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7878"/>
              </a:solidFill>
              <a:ln w="9525" cap="flat" cmpd="sng" algn="ctr">
                <a:solidFill>
                  <a:schemeClr val="accent3">
                    <a:tint val="86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Month Launched'!$A$5:$A$17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Month Launched'!$C$5:$C$17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18-1D43-A231-CA5D2227CBBD}"/>
            </c:ext>
          </c:extLst>
        </c:ser>
        <c:ser>
          <c:idx val="2"/>
          <c:order val="2"/>
          <c:tx>
            <c:strRef>
              <c:f>'Outcome Based on Month Launched'!$D$3:$D$4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rgbClr val="0070C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70C0"/>
              </a:solidFill>
              <a:ln w="9525" cap="flat" cmpd="sng" algn="ctr">
                <a:solidFill>
                  <a:schemeClr val="accent3">
                    <a:shade val="86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Month Launched'!$A$5:$A$17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Month Launched'!$D$5:$D$17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18-1D43-A231-CA5D2227CBBD}"/>
            </c:ext>
          </c:extLst>
        </c:ser>
        <c:ser>
          <c:idx val="3"/>
          <c:order val="3"/>
          <c:tx>
            <c:strRef>
              <c:f>'Outcome Based on Month Launched'!$E$3:$E$4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rgbClr val="19E59E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19E59E"/>
              </a:solidFill>
              <a:ln w="9525" cap="flat" cmpd="sng" algn="ctr">
                <a:solidFill>
                  <a:schemeClr val="accent3">
                    <a:shade val="58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Month Launched'!$A$5:$A$17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Month Launched'!$E$5:$E$17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18-1D43-A231-CA5D2227CB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26549759"/>
        <c:axId val="1415797967"/>
      </c:lineChart>
      <c:catAx>
        <c:axId val="192654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797967"/>
        <c:crosses val="autoZero"/>
        <c:auto val="1"/>
        <c:lblAlgn val="ctr"/>
        <c:lblOffset val="100"/>
        <c:noMultiLvlLbl val="0"/>
      </c:catAx>
      <c:valAx>
        <c:axId val="1415797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497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[Starter_Book.xlsx]Category!PivotTable8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288656613991907"/>
          <c:y val="4.94186758275057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E2DA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78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72E5B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2DA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D-A24A-A67B-D235C721470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878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ED-A24A-A67B-D235C721470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ED-A24A-A67B-D235C721470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2E5BD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ED-A24A-A67B-D235C7214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9104655"/>
        <c:axId val="1457583679"/>
      </c:barChart>
      <c:catAx>
        <c:axId val="143910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8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583679"/>
        <c:crosses val="autoZero"/>
        <c:auto val="1"/>
        <c:lblAlgn val="ctr"/>
        <c:lblOffset val="100"/>
        <c:noMultiLvlLbl val="0"/>
      </c:catAx>
      <c:valAx>
        <c:axId val="145758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10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[Starter_Book.xlsx]Subcategory!PivotTable11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>
                <a:latin typeface="+mn-lt"/>
              </a:rPr>
              <a:t>SUbcategory</a:t>
            </a:r>
            <a:r>
              <a:rPr lang="en-US" sz="1400" b="0" baseline="0">
                <a:latin typeface="+mn-lt"/>
              </a:rPr>
              <a:t> chart</a:t>
            </a:r>
            <a:endParaRPr lang="en-US" sz="1400" b="0">
              <a:latin typeface="+mn-lt"/>
            </a:endParaRPr>
          </a:p>
        </c:rich>
      </c:tx>
      <c:layout>
        <c:manualLayout>
          <c:xMode val="edge"/>
          <c:yMode val="edge"/>
          <c:x val="0.20908617666735269"/>
          <c:y val="4.31486926031079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CF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78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72E5B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CF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4-0845-9DFC-280B87A147FF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87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8-DA49-900F-A3623ABAA2D2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8-DA49-900F-A3623ABAA2D2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2E5B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689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8-DA49-900F-A3623ABAA2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247661791"/>
        <c:axId val="1247663423"/>
      </c:barChart>
      <c:catAx>
        <c:axId val="12476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63423"/>
        <c:crosses val="autoZero"/>
        <c:auto val="1"/>
        <c:lblAlgn val="ctr"/>
        <c:lblOffset val="100"/>
        <c:noMultiLvlLbl val="0"/>
      </c:catAx>
      <c:valAx>
        <c:axId val="12476634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323928</xdr:colOff>
      <xdr:row>69</xdr:row>
      <xdr:rowOff>67039</xdr:rowOff>
    </xdr:from>
    <xdr:to>
      <xdr:col>11</xdr:col>
      <xdr:colOff>520490</xdr:colOff>
      <xdr:row>94</xdr:row>
      <xdr:rowOff>101797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C5B717-A7F2-CA41-909F-E66BA6254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373318</xdr:colOff>
      <xdr:row>2</xdr:row>
      <xdr:rowOff>148638</xdr:rowOff>
    </xdr:from>
    <xdr:to>
      <xdr:col>9</xdr:col>
      <xdr:colOff>474337</xdr:colOff>
      <xdr:row>24</xdr:row>
      <xdr:rowOff>183614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68555C-69CE-204D-A970-D210777DE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493271</xdr:colOff>
      <xdr:row>32</xdr:row>
      <xdr:rowOff>40968</xdr:rowOff>
    </xdr:from>
    <xdr:to>
      <xdr:col>15</xdr:col>
      <xdr:colOff>307257</xdr:colOff>
      <xdr:row>63</xdr:row>
      <xdr:rowOff>48719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E24628-01DB-8E40-B2CB-2922F58A9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come Based on Goals (2)"/>
      <sheetName val="Outcome by Campaign Duration"/>
    </sheetNames>
    <sheetDataSet>
      <sheetData sheetId="0"/>
      <sheetData sheetId="1">
        <row r="1">
          <cell r="B1" t="str">
            <v>Number Successful</v>
          </cell>
          <cell r="C1" t="str">
            <v>Number of Failed</v>
          </cell>
          <cell r="D1" t="str">
            <v>Goal Funded (Live)</v>
          </cell>
          <cell r="E1" t="str">
            <v>Underfunded (Live)</v>
          </cell>
          <cell r="J1" t="str">
            <v>Percentage Successful</v>
          </cell>
          <cell r="K1" t="str">
            <v>Percentage Failed</v>
          </cell>
        </row>
        <row r="2">
          <cell r="A2" t="str">
            <v xml:space="preserve"> 7 days and less</v>
          </cell>
          <cell r="B2">
            <v>4</v>
          </cell>
          <cell r="C2">
            <v>4</v>
          </cell>
          <cell r="D2">
            <v>0</v>
          </cell>
          <cell r="E2">
            <v>0</v>
          </cell>
          <cell r="J2">
            <v>0.5</v>
          </cell>
          <cell r="K2">
            <v>0.5</v>
          </cell>
        </row>
        <row r="3">
          <cell r="A3" t="str">
            <v>8 to 14 days</v>
          </cell>
          <cell r="B3">
            <v>46</v>
          </cell>
          <cell r="C3">
            <v>14</v>
          </cell>
          <cell r="D3">
            <v>0</v>
          </cell>
          <cell r="E3">
            <v>0</v>
          </cell>
          <cell r="J3">
            <v>0.76666666666666672</v>
          </cell>
          <cell r="K3">
            <v>0.23333333333333334</v>
          </cell>
        </row>
        <row r="4">
          <cell r="A4" t="str">
            <v>15 to 21 days</v>
          </cell>
          <cell r="B4">
            <v>76</v>
          </cell>
          <cell r="C4">
            <v>21</v>
          </cell>
          <cell r="D4">
            <v>0</v>
          </cell>
          <cell r="E4">
            <v>3</v>
          </cell>
          <cell r="J4">
            <v>0.76</v>
          </cell>
          <cell r="K4">
            <v>0.24</v>
          </cell>
        </row>
        <row r="5">
          <cell r="A5" t="str">
            <v>22 to 28 days</v>
          </cell>
          <cell r="B5">
            <v>96</v>
          </cell>
          <cell r="C5">
            <v>30</v>
          </cell>
          <cell r="D5">
            <v>0</v>
          </cell>
          <cell r="E5">
            <v>2</v>
          </cell>
          <cell r="J5">
            <v>0.75</v>
          </cell>
          <cell r="K5">
            <v>0.25</v>
          </cell>
        </row>
        <row r="6">
          <cell r="A6" t="str">
            <v>29 to 35 day</v>
          </cell>
          <cell r="B6">
            <v>316</v>
          </cell>
          <cell r="C6">
            <v>171</v>
          </cell>
          <cell r="D6">
            <v>2</v>
          </cell>
          <cell r="E6">
            <v>5</v>
          </cell>
          <cell r="J6">
            <v>0.64372469635627527</v>
          </cell>
          <cell r="K6">
            <v>0.35627530364372467</v>
          </cell>
        </row>
        <row r="7">
          <cell r="A7" t="str">
            <v>36 to 42 days</v>
          </cell>
          <cell r="B7">
            <v>33</v>
          </cell>
          <cell r="C7">
            <v>16</v>
          </cell>
          <cell r="D7">
            <v>1</v>
          </cell>
          <cell r="E7">
            <v>2</v>
          </cell>
          <cell r="J7">
            <v>0.65384615384615385</v>
          </cell>
          <cell r="K7">
            <v>0.34615384615384615</v>
          </cell>
        </row>
        <row r="8">
          <cell r="A8" t="str">
            <v>43 to 49 days</v>
          </cell>
          <cell r="B8">
            <v>22</v>
          </cell>
          <cell r="C8">
            <v>14</v>
          </cell>
          <cell r="D8">
            <v>0</v>
          </cell>
          <cell r="E8">
            <v>1</v>
          </cell>
          <cell r="J8">
            <v>0.59459459459459463</v>
          </cell>
          <cell r="K8">
            <v>0.40540540540540543</v>
          </cell>
        </row>
        <row r="9">
          <cell r="A9" t="str">
            <v>More than 50 days</v>
          </cell>
          <cell r="B9">
            <v>39</v>
          </cell>
          <cell r="C9">
            <v>63</v>
          </cell>
          <cell r="D9">
            <v>0</v>
          </cell>
          <cell r="E9">
            <v>3</v>
          </cell>
          <cell r="J9">
            <v>0.37142857142857144</v>
          </cell>
          <cell r="K9">
            <v>0.62857142857142856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38715509263" createdVersion="6" refreshedVersion="6" minRefreshableVersion="3" recordCount="4114" xr:uid="{B9B1B03C-899E-9A47-99C8-D9D1DA572E4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67604050929" createdVersion="6" refreshedVersion="6" minRefreshableVersion="3" recordCount="4114" xr:uid="{CFC9DBC4-BCB7-124E-A5CB-ADD855E9B2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x v="0"/>
    <x v="0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x v="1"/>
    <x v="1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x v="2"/>
    <x v="2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x v="3"/>
    <x v="3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x v="4"/>
    <x v="4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x v="5"/>
    <x v="5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x v="6"/>
    <x v="6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x v="7"/>
    <x v="7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x v="8"/>
    <x v="8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x v="9"/>
    <x v="9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x v="7"/>
    <x v="1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x v="10"/>
    <x v="11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x v="11"/>
    <x v="12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x v="12"/>
    <x v="13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x v="7"/>
    <x v="1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x v="13"/>
    <x v="1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x v="8"/>
    <x v="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x v="7"/>
    <x v="17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x v="6"/>
    <x v="18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x v="14"/>
    <x v="19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x v="8"/>
    <x v="2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x v="15"/>
    <x v="21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x v="16"/>
    <x v="22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x v="17"/>
    <x v="23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x v="15"/>
    <x v="2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x v="18"/>
    <x v="25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x v="19"/>
    <x v="26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x v="20"/>
    <x v="2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x v="8"/>
    <x v="2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x v="4"/>
    <x v="29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x v="7"/>
    <x v="30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x v="8"/>
    <x v="31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x v="8"/>
    <x v="32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x v="21"/>
    <x v="33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x v="22"/>
    <x v="34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x v="23"/>
    <x v="35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x v="24"/>
    <x v="36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x v="25"/>
    <x v="3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x v="5"/>
    <x v="3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x v="26"/>
    <x v="3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x v="7"/>
    <x v="4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x v="8"/>
    <x v="41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x v="24"/>
    <x v="42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x v="27"/>
    <x v="43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x v="8"/>
    <x v="4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x v="28"/>
    <x v="45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x v="3"/>
    <x v="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x v="29"/>
    <x v="4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x v="29"/>
    <x v="48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x v="8"/>
    <x v="49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x v="8"/>
    <x v="5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x v="30"/>
    <x v="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x v="31"/>
    <x v="52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x v="5"/>
    <x v="53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x v="7"/>
    <x v="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x v="32"/>
    <x v="55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x v="13"/>
    <x v="56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x v="21"/>
    <x v="57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x v="33"/>
    <x v="58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x v="8"/>
    <x v="59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x v="33"/>
    <x v="60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x v="34"/>
    <x v="61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x v="19"/>
    <x v="62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x v="35"/>
    <x v="63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x v="36"/>
    <x v="64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x v="29"/>
    <x v="65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x v="17"/>
    <x v="6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x v="31"/>
    <x v="67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x v="37"/>
    <x v="68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x v="38"/>
    <x v="6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x v="37"/>
    <x v="70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x v="39"/>
    <x v="71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x v="29"/>
    <x v="72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x v="8"/>
    <x v="73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x v="40"/>
    <x v="74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x v="41"/>
    <x v="7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x v="42"/>
    <x v="76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x v="44"/>
    <x v="78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x v="37"/>
    <x v="79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x v="13"/>
    <x v="80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x v="45"/>
    <x v="81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x v="8"/>
    <x v="82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x v="33"/>
    <x v="83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x v="8"/>
    <x v="84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x v="9"/>
    <x v="85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x v="6"/>
    <x v="8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x v="2"/>
    <x v="8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x v="33"/>
    <x v="88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x v="41"/>
    <x v="8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x v="8"/>
    <x v="90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x v="28"/>
    <x v="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x v="2"/>
    <x v="92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x v="38"/>
    <x v="9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x v="3"/>
    <x v="94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x v="26"/>
    <x v="9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x v="41"/>
    <x v="96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x v="6"/>
    <x v="97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x v="6"/>
    <x v="98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x v="6"/>
    <x v="99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x v="8"/>
    <x v="100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x v="8"/>
    <x v="101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x v="30"/>
    <x v="10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x v="2"/>
    <x v="103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x v="28"/>
    <x v="88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x v="13"/>
    <x v="104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x v="74"/>
    <b v="1"/>
    <s v="film &amp; video/shorts"/>
    <x v="7"/>
    <x v="105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x v="21"/>
    <x v="106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x v="46"/>
    <x v="107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x v="47"/>
    <x v="108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x v="26"/>
    <x v="109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x v="19"/>
    <x v="110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x v="3"/>
    <x v="111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x v="48"/>
    <x v="112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x v="33"/>
    <x v="113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x v="49"/>
    <x v="11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x v="8"/>
    <x v="116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x v="40"/>
    <x v="117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x v="2"/>
    <x v="118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x v="50"/>
    <x v="119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x v="50"/>
    <x v="120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x v="50"/>
    <x v="121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x v="50"/>
    <x v="122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x v="50"/>
    <x v="121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x v="51"/>
    <x v="123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x v="52"/>
    <x v="12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x v="53"/>
    <x v="12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x v="53"/>
    <x v="12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x v="50"/>
    <x v="121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x v="50"/>
    <x v="121"/>
    <x v="0"/>
    <x v="2"/>
  </r>
  <r>
    <n v="131"/>
    <x v="131"/>
    <s v="I"/>
    <n v="1200"/>
    <x v="117"/>
    <x v="1"/>
    <x v="0"/>
    <s v="USD"/>
    <n v="1467763200"/>
    <n v="1466453161"/>
    <b v="0"/>
    <x v="78"/>
    <b v="0"/>
    <s v="film &amp; video/science fiction"/>
    <x v="50"/>
    <x v="121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x v="54"/>
    <x v="127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x v="50"/>
    <x v="121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x v="50"/>
    <x v="121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x v="55"/>
    <x v="12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x v="50"/>
    <x v="121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x v="50"/>
    <x v="121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x v="56"/>
    <x v="129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x v="8"/>
    <x v="13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x v="50"/>
    <x v="121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x v="57"/>
    <x v="1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x v="50"/>
    <x v="119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x v="50"/>
    <x v="121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x v="58"/>
    <x v="132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x v="59"/>
    <x v="133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x v="60"/>
    <x v="134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x v="50"/>
    <x v="121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x v="50"/>
    <x v="135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x v="60"/>
    <x v="136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x v="61"/>
    <x v="137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x v="50"/>
    <x v="13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x v="50"/>
    <x v="2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x v="60"/>
    <x v="13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x v="56"/>
    <x v="140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x v="50"/>
    <x v="141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x v="62"/>
    <x v="142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x v="50"/>
    <x v="143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x v="50"/>
    <x v="121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x v="50"/>
    <x v="119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x v="50"/>
    <x v="121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x v="50"/>
    <x v="144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x v="63"/>
    <x v="14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x v="50"/>
    <x v="121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x v="60"/>
    <x v="146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x v="50"/>
    <x v="121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x v="64"/>
    <x v="147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x v="50"/>
    <x v="148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x v="65"/>
    <x v="14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x v="66"/>
    <x v="150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x v="56"/>
    <x v="15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x v="50"/>
    <x v="120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x v="50"/>
    <x v="121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x v="50"/>
    <x v="121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x v="50"/>
    <x v="121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x v="52"/>
    <x v="34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x v="50"/>
    <x v="121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x v="67"/>
    <x v="152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x v="50"/>
    <x v="121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x v="68"/>
    <x v="101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x v="69"/>
    <x v="153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x v="70"/>
    <x v="154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x v="50"/>
    <x v="121"/>
    <x v="0"/>
    <x v="3"/>
  </r>
  <r>
    <n v="183"/>
    <x v="183"/>
    <s v="Don't kill me until I meet my Dad"/>
    <n v="12500"/>
    <x v="151"/>
    <x v="2"/>
    <x v="1"/>
    <s v="GBP"/>
    <n v="1417033610"/>
    <n v="1414438010"/>
    <b v="0"/>
    <x v="8"/>
    <b v="0"/>
    <s v="film &amp; video/drama"/>
    <x v="71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x v="56"/>
    <x v="156"/>
    <x v="0"/>
    <x v="3"/>
  </r>
  <r>
    <n v="185"/>
    <x v="185"/>
    <s v="Love has no boundaries!"/>
    <n v="40000"/>
    <x v="153"/>
    <x v="2"/>
    <x v="10"/>
    <s v="NOK"/>
    <n v="1471557139"/>
    <n v="1468965139"/>
    <b v="0"/>
    <x v="73"/>
    <b v="0"/>
    <s v="film &amp; video/drama"/>
    <x v="52"/>
    <x v="157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x v="50"/>
    <x v="121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x v="63"/>
    <x v="158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x v="50"/>
    <x v="121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x v="50"/>
    <x v="15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x v="29"/>
    <b v="0"/>
    <s v="film &amp; video/drama"/>
    <x v="50"/>
    <x v="73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x v="62"/>
    <x v="160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x v="50"/>
    <x v="161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x v="50"/>
    <x v="121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x v="50"/>
    <x v="120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x v="50"/>
    <x v="121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x v="7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x v="54"/>
    <x v="163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x v="60"/>
    <x v="164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x v="50"/>
    <x v="121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x v="73"/>
    <x v="165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x v="74"/>
    <x v="166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x v="78"/>
    <b v="0"/>
    <s v="film &amp; video/drama"/>
    <x v="50"/>
    <x v="121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x v="75"/>
    <x v="167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x v="76"/>
    <x v="1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x v="63"/>
    <x v="169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x v="50"/>
    <x v="121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x v="77"/>
    <x v="170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x v="5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x v="50"/>
    <x v="121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x v="78"/>
    <x v="171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x v="79"/>
    <x v="172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x v="50"/>
    <x v="120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x v="50"/>
    <x v="135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x v="50"/>
    <x v="120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x v="50"/>
    <x v="119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x v="80"/>
    <x v="173"/>
    <x v="0"/>
    <x v="3"/>
  </r>
  <r>
    <n v="217"/>
    <x v="217"/>
    <s v="A roadmovie by paw"/>
    <n v="100000"/>
    <x v="172"/>
    <x v="2"/>
    <x v="11"/>
    <s v="SEK"/>
    <n v="1419780149"/>
    <n v="1417101749"/>
    <b v="0"/>
    <x v="44"/>
    <b v="0"/>
    <s v="film &amp; video/drama"/>
    <x v="81"/>
    <x v="174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x v="53"/>
    <x v="101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x v="82"/>
    <x v="175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x v="60"/>
    <x v="176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x v="50"/>
    <x v="121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x v="55"/>
    <x v="177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x v="5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x v="50"/>
    <x v="121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x v="50"/>
    <x v="121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x v="60"/>
    <x v="178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x v="50"/>
    <x v="121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x v="50"/>
    <x v="121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x v="50"/>
    <x v="121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x v="50"/>
    <x v="179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x v="50"/>
    <x v="121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x v="56"/>
    <x v="180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x v="50"/>
    <x v="121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x v="67"/>
    <x v="181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x v="50"/>
    <x v="121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x v="50"/>
    <x v="121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x v="50"/>
    <x v="73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x v="50"/>
    <x v="121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x v="78"/>
    <x v="73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x v="29"/>
    <x v="182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x v="40"/>
    <x v="183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x v="40"/>
    <x v="184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x v="3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x v="3"/>
    <x v="187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x v="83"/>
    <x v="188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x v="84"/>
    <x v="189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x v="40"/>
    <x v="191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x v="6"/>
    <x v="19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x v="9"/>
    <x v="193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x v="7"/>
    <x v="195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x v="16"/>
    <x v="196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x v="13"/>
    <x v="197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x v="86"/>
    <x v="198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x v="13"/>
    <x v="199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x v="87"/>
    <x v="200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x v="88"/>
    <x v="201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x v="6"/>
    <x v="202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x v="13"/>
    <x v="203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x v="89"/>
    <x v="204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x v="90"/>
    <x v="20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x v="91"/>
    <x v="208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x v="88"/>
    <x v="209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x v="38"/>
    <x v="210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x v="92"/>
    <x v="211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x v="42"/>
    <x v="212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x v="2"/>
    <x v="213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x v="93"/>
    <x v="214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x v="29"/>
    <x v="215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x v="94"/>
    <x v="216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x v="29"/>
    <x v="217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x v="34"/>
    <x v="218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x v="5"/>
    <x v="219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x v="95"/>
    <x v="220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x v="96"/>
    <x v="221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x v="94"/>
    <x v="222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x v="10"/>
    <x v="223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x v="7"/>
    <x v="224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x v="35"/>
    <x v="225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x v="2"/>
    <x v="226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x v="97"/>
    <x v="227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x v="15"/>
    <x v="2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x v="98"/>
    <x v="22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x v="33"/>
    <x v="230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x v="2"/>
    <x v="231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x v="13"/>
    <x v="232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x v="28"/>
    <x v="233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x v="21"/>
    <x v="234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x v="8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x v="18"/>
    <x v="236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x v="17"/>
    <x v="237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x v="7"/>
    <x v="238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x v="15"/>
    <x v="239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x v="99"/>
    <x v="240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x v="21"/>
    <x v="241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x v="8"/>
    <x v="243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x v="0"/>
    <x v="244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x v="100"/>
    <x v="245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x v="22"/>
    <x v="246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x v="101"/>
    <x v="247"/>
    <x v="0"/>
    <x v="4"/>
  </r>
  <r>
    <n v="307"/>
    <x v="307"/>
    <s v="Why is grammar important?"/>
    <n v="22000"/>
    <x v="244"/>
    <x v="0"/>
    <x v="0"/>
    <s v="USD"/>
    <n v="1360276801"/>
    <n v="1357684801"/>
    <b v="1"/>
    <x v="145"/>
    <b v="1"/>
    <s v="film &amp; video/documentary"/>
    <x v="38"/>
    <x v="248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x v="6"/>
    <x v="249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x v="17"/>
    <x v="250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x v="3"/>
    <x v="251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x v="3"/>
    <x v="252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x v="20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x v="2"/>
    <x v="181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x v="102"/>
    <x v="254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x v="7"/>
    <x v="255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x v="35"/>
    <x v="256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x v="7"/>
    <x v="25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x v="40"/>
    <x v="258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x v="13"/>
    <x v="259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x v="33"/>
    <x v="260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x v="29"/>
    <x v="261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x v="4"/>
    <x v="262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x v="21"/>
    <x v="263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x v="3"/>
    <x v="264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x v="40"/>
    <x v="265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x v="104"/>
    <x v="266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x v="3"/>
    <x v="267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x v="6"/>
    <x v="268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x v="21"/>
    <x v="269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x v="13"/>
    <x v="270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x v="40"/>
    <x v="271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x v="105"/>
    <x v="272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x v="7"/>
    <x v="273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x v="33"/>
    <x v="274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x v="16"/>
    <x v="27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x v="7"/>
    <x v="276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x v="5"/>
    <x v="277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x v="29"/>
    <x v="278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x v="105"/>
    <x v="279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x v="13"/>
    <x v="280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x v="8"/>
    <x v="281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x v="21"/>
    <x v="282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x v="21"/>
    <x v="283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x v="4"/>
    <x v="284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x v="106"/>
    <x v="285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x v="20"/>
    <x v="286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x v="33"/>
    <x v="287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x v="13"/>
    <x v="288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x v="41"/>
    <x v="289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x v="37"/>
    <x v="290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x v="16"/>
    <x v="291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x v="15"/>
    <x v="29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x v="3"/>
    <x v="293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x v="31"/>
    <x v="294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x v="33"/>
    <x v="295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x v="107"/>
    <x v="296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x v="33"/>
    <x v="297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x v="2"/>
    <x v="298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x v="7"/>
    <x v="299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x v="38"/>
    <x v="300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x v="7"/>
    <x v="302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x v="5"/>
    <x v="303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x v="3"/>
    <x v="30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x v="7"/>
    <x v="305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x v="33"/>
    <x v="306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x v="3"/>
    <x v="307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x v="5"/>
    <x v="308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x v="108"/>
    <x v="309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x v="35"/>
    <x v="310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x v="105"/>
    <x v="311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x v="13"/>
    <x v="312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x v="26"/>
    <x v="313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x v="28"/>
    <x v="314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x v="6"/>
    <x v="315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x v="35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x v="20"/>
    <x v="317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x v="31"/>
    <x v="318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x v="24"/>
    <x v="319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x v="2"/>
    <x v="320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x v="109"/>
    <x v="321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x v="110"/>
    <x v="32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x v="20"/>
    <x v="323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x v="6"/>
    <x v="324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x v="8"/>
    <x v="325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x v="111"/>
    <x v="326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x v="9"/>
    <x v="327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x v="112"/>
    <x v="328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x v="8"/>
    <x v="84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x v="7"/>
    <x v="329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x v="7"/>
    <x v="330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x v="5"/>
    <x v="33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x v="20"/>
    <x v="332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x v="29"/>
    <x v="333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x v="3"/>
    <x v="335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x v="105"/>
    <x v="336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x v="13"/>
    <x v="337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x v="20"/>
    <x v="338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x v="3"/>
    <x v="339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x v="24"/>
    <x v="340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x v="2"/>
    <x v="341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x v="33"/>
    <x v="342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x v="29"/>
    <x v="343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x v="29"/>
    <x v="344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x v="21"/>
    <x v="345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x v="7"/>
    <x v="34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x v="0"/>
    <x v="347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x v="30"/>
    <x v="348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x v="7"/>
    <x v="34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x v="37"/>
    <x v="350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x v="2"/>
    <x v="351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x v="33"/>
    <x v="352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x v="21"/>
    <x v="353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x v="28"/>
    <x v="354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x v="8"/>
    <x v="355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x v="7"/>
    <x v="356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x v="8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x v="50"/>
    <x v="358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x v="53"/>
    <x v="359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x v="60"/>
    <x v="360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x v="60"/>
    <x v="361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x v="113"/>
    <x v="99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x v="50"/>
    <x v="362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x v="60"/>
    <x v="3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x v="50"/>
    <x v="121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x v="50"/>
    <x v="121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x v="53"/>
    <x v="365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x v="51"/>
    <x v="366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x v="50"/>
    <x v="121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x v="62"/>
    <x v="368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x v="50"/>
    <x v="120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x v="50"/>
    <x v="121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x v="50"/>
    <x v="121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x v="114"/>
    <x v="369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x v="50"/>
    <x v="121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x v="50"/>
    <x v="144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x v="50"/>
    <x v="121"/>
    <x v="0"/>
    <x v="5"/>
  </r>
  <r>
    <n v="442"/>
    <x v="442"/>
    <s v="Doomsday is here"/>
    <n v="17000"/>
    <x v="368"/>
    <x v="2"/>
    <x v="0"/>
    <s v="USD"/>
    <n v="1424380783"/>
    <n v="1421788783"/>
    <b v="0"/>
    <x v="57"/>
    <b v="0"/>
    <s v="film &amp; video/animation"/>
    <x v="115"/>
    <x v="370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x v="50"/>
    <x v="144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x v="62"/>
    <x v="73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x v="50"/>
    <x v="120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x v="113"/>
    <x v="371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x v="50"/>
    <x v="144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x v="56"/>
    <x v="372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x v="53"/>
    <x v="373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x v="60"/>
    <x v="374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x v="50"/>
    <x v="121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x v="116"/>
    <x v="375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x v="50"/>
    <x v="31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x v="60"/>
    <x v="376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x v="50"/>
    <x v="377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x v="60"/>
    <x v="37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x v="50"/>
    <x v="121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x v="59"/>
    <x v="379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x v="50"/>
    <x v="380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x v="50"/>
    <x v="381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x v="50"/>
    <x v="121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x v="50"/>
    <x v="121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x v="53"/>
    <x v="382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x v="50"/>
    <x v="120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x v="117"/>
    <x v="383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x v="60"/>
    <x v="384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x v="66"/>
    <x v="385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x v="50"/>
    <x v="121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x v="50"/>
    <x v="121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x v="60"/>
    <x v="156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x v="81"/>
    <x v="386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x v="82"/>
    <x v="387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x v="56"/>
    <x v="24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x v="50"/>
    <x v="120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x v="50"/>
    <x v="121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x v="53"/>
    <x v="388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x v="50"/>
    <x v="121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x v="50"/>
    <x v="121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x v="69"/>
    <x v="389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x v="118"/>
    <x v="390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x v="52"/>
    <x v="391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x v="50"/>
    <x v="119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x v="119"/>
    <x v="39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x v="50"/>
    <x v="393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x v="66"/>
    <x v="394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x v="50"/>
    <x v="73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x v="50"/>
    <x v="121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x v="50"/>
    <x v="121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x v="50"/>
    <x v="395"/>
    <x v="0"/>
    <x v="5"/>
  </r>
  <r>
    <n v="490"/>
    <x v="490"/>
    <s v="Cancelled"/>
    <n v="1000"/>
    <x v="117"/>
    <x v="2"/>
    <x v="0"/>
    <s v="USD"/>
    <n v="1345677285"/>
    <n v="1343085285"/>
    <b v="0"/>
    <x v="78"/>
    <b v="0"/>
    <s v="film &amp; video/animation"/>
    <x v="50"/>
    <x v="121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x v="50"/>
    <x v="121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x v="50"/>
    <x v="121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x v="50"/>
    <x v="121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x v="50"/>
    <x v="396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x v="50"/>
    <x v="121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x v="50"/>
    <x v="120"/>
    <x v="0"/>
    <x v="5"/>
  </r>
  <r>
    <n v="497"/>
    <x v="497"/>
    <s v="live-action/animated series pilot."/>
    <n v="4480"/>
    <x v="134"/>
    <x v="2"/>
    <x v="0"/>
    <s v="USD"/>
    <n v="1419483600"/>
    <n v="1414889665"/>
    <b v="0"/>
    <x v="83"/>
    <b v="0"/>
    <s v="film &amp; video/animation"/>
    <x v="60"/>
    <x v="119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x v="62"/>
    <x v="397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x v="56"/>
    <x v="399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x v="50"/>
    <x v="121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x v="60"/>
    <x v="400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x v="53"/>
    <x v="401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x v="60"/>
    <x v="402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x v="50"/>
    <x v="403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x v="56"/>
    <x v="405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x v="60"/>
    <x v="44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x v="50"/>
    <x v="119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x v="50"/>
    <x v="121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x v="56"/>
    <x v="179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x v="50"/>
    <x v="148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x v="51"/>
    <x v="406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x v="56"/>
    <x v="407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x v="78"/>
    <x v="408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x v="50"/>
    <x v="121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x v="50"/>
    <x v="121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x v="61"/>
    <x v="410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x v="21"/>
    <x v="411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x v="2"/>
    <x v="412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x v="41"/>
    <x v="413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x v="10"/>
    <x v="414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x v="15"/>
    <x v="415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x v="8"/>
    <x v="416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x v="35"/>
    <x v="417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x v="7"/>
    <x v="418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x v="209"/>
    <b v="1"/>
    <s v="theater/plays"/>
    <x v="31"/>
    <x v="419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x v="22"/>
    <x v="420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x v="29"/>
    <x v="421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x v="8"/>
    <x v="422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x v="4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x v="8"/>
    <x v="424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x v="2"/>
    <x v="425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x v="33"/>
    <x v="426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x v="90"/>
    <x v="427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x v="10"/>
    <x v="428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x v="120"/>
    <x v="429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x v="7"/>
    <x v="430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x v="50"/>
    <x v="120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x v="60"/>
    <x v="380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x v="50"/>
    <x v="120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x v="50"/>
    <x v="431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x v="60"/>
    <x v="362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x v="117"/>
    <x v="432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x v="50"/>
    <x v="433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x v="50"/>
    <x v="121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x v="50"/>
    <x v="373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x v="56"/>
    <x v="434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x v="60"/>
    <x v="43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x v="62"/>
    <x v="436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x v="50"/>
    <x v="121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x v="50"/>
    <x v="372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x v="121"/>
    <x v="437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x v="50"/>
    <x v="121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x v="56"/>
    <x v="438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x v="60"/>
    <x v="439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x v="50"/>
    <x v="73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x v="50"/>
    <x v="143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x v="50"/>
    <x v="440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x v="50"/>
    <x v="121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x v="5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x v="50"/>
    <x v="120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x v="50"/>
    <x v="121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x v="50"/>
    <x v="120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x v="60"/>
    <x v="442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x v="60"/>
    <x v="135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x v="50"/>
    <x v="443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x v="50"/>
    <x v="444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x v="50"/>
    <x v="121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x v="50"/>
    <x v="445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x v="60"/>
    <x v="135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x v="50"/>
    <x v="446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x v="50"/>
    <x v="120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x v="50"/>
    <x v="119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x v="50"/>
    <x v="447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x v="60"/>
    <x v="431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x v="50"/>
    <x v="120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x v="50"/>
    <x v="121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x v="50"/>
    <x v="121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x v="50"/>
    <x v="120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x v="60"/>
    <x v="144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x v="50"/>
    <x v="121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x v="60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x v="114"/>
    <x v="44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x v="56"/>
    <x v="450"/>
    <x v="2"/>
    <x v="7"/>
  </r>
  <r>
    <n v="589"/>
    <x v="589"/>
    <s v="Services closer than you think..."/>
    <n v="7500"/>
    <x v="116"/>
    <x v="2"/>
    <x v="0"/>
    <s v="USD"/>
    <n v="1436366699"/>
    <n v="1435070699"/>
    <b v="0"/>
    <x v="29"/>
    <b v="0"/>
    <s v="technology/web"/>
    <x v="50"/>
    <x v="120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x v="65"/>
    <x v="451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x v="50"/>
    <x v="452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x v="56"/>
    <x v="404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x v="61"/>
    <x v="45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x v="50"/>
    <x v="31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x v="50"/>
    <x v="454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x v="50"/>
    <x v="362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x v="50"/>
    <x v="119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x v="122"/>
    <x v="455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x v="50"/>
    <x v="456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x v="53"/>
    <x v="101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x v="60"/>
    <x v="457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x v="50"/>
    <x v="121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x v="65"/>
    <x v="458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x v="50"/>
    <x v="121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x v="56"/>
    <x v="459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x v="50"/>
    <x v="119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x v="50"/>
    <x v="121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x v="60"/>
    <x v="460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x v="60"/>
    <x v="144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x v="5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x v="50"/>
    <x v="121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x v="50"/>
    <x v="121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x v="70"/>
    <x v="461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x v="50"/>
    <x v="121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x v="5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x v="50"/>
    <x v="121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x v="56"/>
    <x v="135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x v="50"/>
    <x v="121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x v="50"/>
    <x v="120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x v="60"/>
    <x v="462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x v="60"/>
    <x v="463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x v="52"/>
    <x v="464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x v="50"/>
    <x v="121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x v="50"/>
    <x v="121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x v="50"/>
    <x v="121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x v="123"/>
    <x v="465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x v="50"/>
    <x v="466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x v="50"/>
    <x v="121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x v="50"/>
    <x v="4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x v="50"/>
    <x v="119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x v="60"/>
    <x v="468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x v="50"/>
    <x v="121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x v="81"/>
    <x v="469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x v="50"/>
    <x v="120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x v="50"/>
    <x v="447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x v="50"/>
    <x v="143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x v="50"/>
    <x v="121"/>
    <x v="2"/>
    <x v="7"/>
  </r>
  <r>
    <n v="638"/>
    <x v="638"/>
    <s v="O0"/>
    <n v="200000"/>
    <x v="461"/>
    <x v="1"/>
    <x v="12"/>
    <s v="EUR"/>
    <n v="1490447662"/>
    <n v="1485267262"/>
    <b v="0"/>
    <x v="79"/>
    <b v="0"/>
    <s v="technology/web"/>
    <x v="50"/>
    <x v="362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x v="50"/>
    <x v="120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x v="124"/>
    <x v="470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x v="17"/>
    <x v="471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x v="125"/>
    <x v="472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x v="6"/>
    <x v="47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x v="126"/>
    <x v="474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x v="127"/>
    <x v="475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x v="88"/>
    <x v="476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x v="13"/>
    <x v="477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x v="37"/>
    <x v="478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x v="49"/>
    <x v="479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x v="20"/>
    <x v="480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x v="7"/>
    <x v="481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x v="8"/>
    <x v="482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x v="48"/>
    <x v="4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x v="128"/>
    <x v="484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x v="92"/>
    <x v="485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x v="111"/>
    <x v="486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x v="9"/>
    <x v="487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x v="3"/>
    <x v="488"/>
    <x v="2"/>
    <x v="8"/>
  </r>
  <r>
    <n v="659"/>
    <x v="659"/>
    <s v="Sync up your lifestyle"/>
    <n v="3000"/>
    <x v="481"/>
    <x v="0"/>
    <x v="0"/>
    <s v="USD"/>
    <n v="1440339295"/>
    <n v="1437747295"/>
    <b v="0"/>
    <x v="64"/>
    <b v="1"/>
    <s v="technology/wearables"/>
    <x v="7"/>
    <x v="48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x v="56"/>
    <x v="490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x v="60"/>
    <x v="491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x v="50"/>
    <x v="492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x v="50"/>
    <x v="101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x v="59"/>
    <x v="493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x v="118"/>
    <x v="494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x v="50"/>
    <x v="447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x v="54"/>
    <x v="495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x v="62"/>
    <x v="49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x v="66"/>
    <x v="497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x v="129"/>
    <x v="498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x v="115"/>
    <x v="499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x v="66"/>
    <x v="500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x v="50"/>
    <x v="409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x v="50"/>
    <x v="501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x v="77"/>
    <x v="502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x v="60"/>
    <x v="503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x v="73"/>
    <x v="504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x v="65"/>
    <x v="505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x v="77"/>
    <x v="506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x v="73"/>
    <x v="507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x v="50"/>
    <x v="120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x v="50"/>
    <x v="508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x v="60"/>
    <x v="509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x v="125"/>
    <b v="0"/>
    <s v="technology/wearables"/>
    <x v="113"/>
    <x v="510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x v="58"/>
    <x v="511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x v="50"/>
    <x v="121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x v="65"/>
    <x v="512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x v="130"/>
    <x v="513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x v="74"/>
    <x v="514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x v="81"/>
    <x v="515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x v="60"/>
    <x v="433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x v="113"/>
    <x v="516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x v="131"/>
    <x v="517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x v="50"/>
    <x v="518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x v="60"/>
    <x v="519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x v="50"/>
    <x v="120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x v="132"/>
    <x v="520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x v="77"/>
    <x v="521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x v="133"/>
    <x v="522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x v="56"/>
    <x v="31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x v="117"/>
    <x v="52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x v="134"/>
    <x v="524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x v="52"/>
    <x v="525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x v="60"/>
    <x v="526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x v="60"/>
    <x v="527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x v="50"/>
    <x v="121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x v="135"/>
    <x v="528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x v="66"/>
    <x v="529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x v="50"/>
    <x v="452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x v="50"/>
    <x v="121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x v="122"/>
    <x v="530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x v="50"/>
    <x v="531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x v="60"/>
    <x v="532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x v="77"/>
    <x v="53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x v="62"/>
    <x v="534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x v="54"/>
    <x v="535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x v="50"/>
    <x v="536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x v="60"/>
    <x v="377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x v="60"/>
    <x v="537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x v="124"/>
    <x v="538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x v="108"/>
    <x v="539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x v="88"/>
    <x v="540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x v="15"/>
    <x v="541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x v="2"/>
    <x v="542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x v="8"/>
    <x v="543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x v="7"/>
    <x v="544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x v="94"/>
    <x v="545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x v="6"/>
    <x v="546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x v="26"/>
    <x v="547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x v="88"/>
    <x v="548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x v="9"/>
    <x v="549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x v="12"/>
    <x v="550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x v="28"/>
    <x v="551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x v="9"/>
    <x v="552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x v="35"/>
    <x v="553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x v="136"/>
    <x v="201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x v="108"/>
    <x v="98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x v="13"/>
    <x v="554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x v="137"/>
    <x v="555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x v="13"/>
    <x v="556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x v="21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x v="38"/>
    <x v="558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x v="34"/>
    <x v="559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x v="21"/>
    <x v="560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x v="99"/>
    <x v="561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x v="38"/>
    <x v="562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x v="8"/>
    <x v="56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x v="8"/>
    <x v="564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x v="6"/>
    <x v="565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x v="33"/>
    <x v="566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x v="17"/>
    <x v="567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x v="20"/>
    <x v="568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x v="30"/>
    <x v="569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x v="3"/>
    <x v="570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x v="21"/>
    <x v="571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x v="90"/>
    <x v="572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x v="138"/>
    <x v="573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x v="21"/>
    <x v="574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x v="21"/>
    <x v="575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x v="50"/>
    <x v="121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x v="62"/>
    <x v="576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x v="50"/>
    <x v="121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x v="50"/>
    <x v="144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x v="50"/>
    <x v="121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x v="71"/>
    <x v="577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x v="50"/>
    <x v="121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x v="65"/>
    <x v="578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x v="50"/>
    <x v="121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x v="139"/>
    <x v="579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x v="50"/>
    <x v="121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x v="56"/>
    <x v="73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x v="60"/>
    <x v="580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x v="140"/>
    <x v="492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x v="53"/>
    <x v="441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x v="76"/>
    <x v="581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x v="60"/>
    <x v="582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x v="5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x v="56"/>
    <x v="583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x v="3"/>
    <x v="584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x v="18"/>
    <x v="585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x v="8"/>
    <x v="73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x v="34"/>
    <x v="586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x v="33"/>
    <x v="587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x v="141"/>
    <x v="588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x v="1"/>
    <x v="589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x v="35"/>
    <x v="590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x v="142"/>
    <x v="591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x v="15"/>
    <x v="592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x v="3"/>
    <x v="594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x v="8"/>
    <x v="59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x v="33"/>
    <x v="596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x v="2"/>
    <x v="597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x v="20"/>
    <x v="598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x v="7"/>
    <x v="599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x v="29"/>
    <x v="600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x v="41"/>
    <x v="601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x v="8"/>
    <x v="602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x v="143"/>
    <x v="603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x v="20"/>
    <x v="604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x v="7"/>
    <x v="605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x v="4"/>
    <x v="606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x v="8"/>
    <x v="607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x v="2"/>
    <x v="608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x v="26"/>
    <b v="1"/>
    <s v="music/rock"/>
    <x v="3"/>
    <x v="1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x v="2"/>
    <x v="609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x v="8"/>
    <x v="610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x v="3"/>
    <x v="611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x v="2"/>
    <x v="608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x v="3"/>
    <x v="64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x v="143"/>
    <x v="612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x v="12"/>
    <x v="380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x v="37"/>
    <x v="613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x v="13"/>
    <x v="614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x v="41"/>
    <x v="615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x v="0"/>
    <x v="616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x v="94"/>
    <x v="617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x v="25"/>
    <b v="1"/>
    <s v="music/rock"/>
    <x v="15"/>
    <x v="618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x v="84"/>
    <x v="619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x v="8"/>
    <x v="620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x v="17"/>
    <x v="62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x v="144"/>
    <x v="62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x v="84"/>
    <x v="623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x v="8"/>
    <x v="624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x v="7"/>
    <x v="625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x v="33"/>
    <x v="626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x v="13"/>
    <x v="247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x v="3"/>
    <x v="151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x v="29"/>
    <x v="627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x v="145"/>
    <x v="628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x v="7"/>
    <x v="629"/>
    <x v="4"/>
    <x v="11"/>
  </r>
  <r>
    <n v="833"/>
    <x v="833"/>
    <s v="This is an American rock album."/>
    <n v="6000"/>
    <x v="627"/>
    <x v="0"/>
    <x v="0"/>
    <s v="USD"/>
    <n v="1397941475"/>
    <n v="1395349475"/>
    <b v="0"/>
    <x v="14"/>
    <b v="1"/>
    <s v="music/rock"/>
    <x v="21"/>
    <x v="630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x v="26"/>
    <x v="631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x v="16"/>
    <x v="632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x v="67"/>
    <b v="1"/>
    <s v="music/rock"/>
    <x v="7"/>
    <x v="633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x v="108"/>
    <x v="634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x v="14"/>
    <x v="635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x v="16"/>
    <x v="636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x v="28"/>
    <x v="637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x v="7"/>
    <x v="638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x v="3"/>
    <x v="639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x v="128"/>
    <x v="640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x v="146"/>
    <x v="641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x v="28"/>
    <x v="642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x v="108"/>
    <x v="643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x v="29"/>
    <b v="1"/>
    <s v="music/metal"/>
    <x v="8"/>
    <x v="119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x v="8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x v="28"/>
    <x v="645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x v="19"/>
    <x v="646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x v="22"/>
    <x v="647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x v="2"/>
    <x v="648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x v="8"/>
    <x v="179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x v="90"/>
    <x v="649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x v="3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x v="147"/>
    <x v="651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x v="8"/>
    <x v="73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x v="124"/>
    <x v="652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x v="2"/>
    <x v="653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x v="82"/>
    <x v="654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x v="53"/>
    <x v="470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x v="50"/>
    <x v="65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x v="62"/>
    <x v="656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x v="72"/>
    <x v="657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x v="53"/>
    <x v="377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x v="82"/>
    <x v="65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x v="148"/>
    <x v="65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x v="50"/>
    <x v="73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x v="81"/>
    <x v="660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x v="50"/>
    <x v="661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x v="62"/>
    <x v="662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x v="60"/>
    <x v="151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x v="60"/>
    <x v="373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x v="148"/>
    <x v="663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x v="50"/>
    <x v="121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x v="43"/>
    <b v="0"/>
    <s v="music/jazz"/>
    <x v="139"/>
    <x v="232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x v="149"/>
    <x v="664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x v="60"/>
    <x v="151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x v="134"/>
    <x v="665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x v="56"/>
    <x v="666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x v="60"/>
    <x v="179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x v="68"/>
    <x v="66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x v="67"/>
    <x v="66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x v="60"/>
    <x v="119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x v="150"/>
    <x v="669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x v="139"/>
    <x v="670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x v="50"/>
    <x v="121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x v="113"/>
    <x v="656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x v="114"/>
    <x v="671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x v="65"/>
    <x v="672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x v="56"/>
    <x v="673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x v="139"/>
    <x v="674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x v="54"/>
    <x v="375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x v="115"/>
    <x v="675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x v="53"/>
    <x v="67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x v="67"/>
    <x v="677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x v="50"/>
    <x v="121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x v="56"/>
    <x v="431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x v="121"/>
    <x v="431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x v="50"/>
    <x v="121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x v="50"/>
    <x v="179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x v="56"/>
    <x v="375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x v="50"/>
    <x v="679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x v="56"/>
    <x v="680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x v="50"/>
    <x v="121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x v="50"/>
    <x v="121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x v="50"/>
    <x v="121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x v="56"/>
    <x v="177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x v="66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x v="50"/>
    <x v="121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x v="60"/>
    <x v="2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x v="113"/>
    <x v="682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x v="50"/>
    <x v="121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x v="52"/>
    <x v="683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x v="50"/>
    <x v="121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x v="62"/>
    <x v="684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x v="29"/>
    <b v="0"/>
    <s v="music/jazz"/>
    <x v="60"/>
    <x v="101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x v="50"/>
    <x v="121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x v="134"/>
    <x v="68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x v="70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x v="53"/>
    <x v="687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x v="57"/>
    <x v="68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x v="56"/>
    <x v="689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x v="50"/>
    <x v="121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x v="50"/>
    <x v="121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x v="57"/>
    <x v="690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x v="5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x v="151"/>
    <x v="15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x v="113"/>
    <x v="69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x v="77"/>
    <x v="692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x v="52"/>
    <x v="88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x v="75"/>
    <x v="693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x v="60"/>
    <x v="380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x v="50"/>
    <x v="121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x v="60"/>
    <x v="135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x v="50"/>
    <x v="380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x v="60"/>
    <x v="135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x v="123"/>
    <x v="694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x v="53"/>
    <x v="572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x v="114"/>
    <x v="69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x v="54"/>
    <x v="696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x v="55"/>
    <x v="697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x v="53"/>
    <x v="698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x v="53"/>
    <x v="699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x v="50"/>
    <x v="121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x v="81"/>
    <x v="88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x v="60"/>
    <x v="492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x v="58"/>
    <x v="700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x v="212"/>
    <b v="0"/>
    <s v="technology/wearables"/>
    <x v="151"/>
    <x v="701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x v="67"/>
    <x v="284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x v="60"/>
    <x v="70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x v="152"/>
    <x v="703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x v="52"/>
    <x v="704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x v="53"/>
    <x v="70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x v="53"/>
    <x v="706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x v="57"/>
    <x v="707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x v="115"/>
    <x v="708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x v="132"/>
    <x v="709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x v="72"/>
    <x v="710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x v="58"/>
    <x v="711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x v="60"/>
    <x v="712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x v="60"/>
    <x v="713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x v="60"/>
    <x v="714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x v="77"/>
    <x v="715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x v="82"/>
    <x v="716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x v="60"/>
    <x v="717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x v="153"/>
    <x v="718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x v="132"/>
    <x v="719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x v="50"/>
    <x v="720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x v="131"/>
    <x v="721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x v="53"/>
    <x v="722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x v="60"/>
    <x v="72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x v="56"/>
    <x v="724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x v="53"/>
    <x v="72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x v="122"/>
    <x v="726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x v="80"/>
    <x v="727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x v="154"/>
    <x v="728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x v="77"/>
    <x v="729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x v="50"/>
    <x v="730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x v="50"/>
    <x v="120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x v="60"/>
    <x v="732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x v="52"/>
    <x v="733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x v="55"/>
    <x v="734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x v="55"/>
    <x v="735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x v="50"/>
    <x v="121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x v="123"/>
    <x v="736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x v="65"/>
    <x v="737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x v="50"/>
    <x v="738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x v="53"/>
    <x v="740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x v="113"/>
    <x v="741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x v="53"/>
    <x v="31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x v="60"/>
    <x v="742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x v="155"/>
    <x v="7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x v="59"/>
    <x v="744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x v="53"/>
    <x v="745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x v="3"/>
    <x v="746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x v="75"/>
    <x v="747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x v="63"/>
    <x v="748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x v="133"/>
    <x v="749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x v="150"/>
    <x v="750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x v="52"/>
    <x v="751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x v="156"/>
    <x v="752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x v="50"/>
    <x v="404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x v="55"/>
    <x v="177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x v="50"/>
    <x v="687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x v="50"/>
    <x v="753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x v="157"/>
    <x v="754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x v="131"/>
    <x v="755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x v="134"/>
    <x v="756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x v="56"/>
    <x v="375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x v="56"/>
    <x v="757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x v="61"/>
    <x v="758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x v="56"/>
    <x v="759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x v="153"/>
    <x v="454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x v="158"/>
    <x v="760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x v="159"/>
    <x v="761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x v="41"/>
    <x v="762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x v="160"/>
    <x v="763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x v="17"/>
    <x v="764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x v="5"/>
    <x v="765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x v="8"/>
    <x v="766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x v="33"/>
    <x v="7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x v="16"/>
    <x v="768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x v="20"/>
    <x v="769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x v="161"/>
    <x v="770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x v="13"/>
    <x v="771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x v="93"/>
    <b v="1"/>
    <s v="music/electronic music"/>
    <x v="29"/>
    <x v="772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x v="33"/>
    <x v="96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x v="22"/>
    <x v="773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x v="29"/>
    <x v="774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x v="20"/>
    <x v="775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x v="21"/>
    <x v="776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x v="14"/>
    <x v="777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x v="30"/>
    <x v="778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x v="50"/>
    <x v="404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x v="50"/>
    <x v="121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x v="53"/>
    <x v="119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x v="114"/>
    <x v="779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x v="50"/>
    <x v="362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x v="56"/>
    <x v="780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x v="50"/>
    <x v="121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x v="50"/>
    <x v="120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x v="60"/>
    <x v="444"/>
    <x v="5"/>
    <x v="16"/>
  </r>
  <r>
    <n v="1049"/>
    <x v="1049"/>
    <s v="------"/>
    <n v="12000"/>
    <x v="117"/>
    <x v="1"/>
    <x v="0"/>
    <s v="USD"/>
    <n v="1455272445"/>
    <n v="1452680445"/>
    <b v="0"/>
    <x v="78"/>
    <b v="0"/>
    <s v="journalism/audio"/>
    <x v="50"/>
    <x v="121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x v="50"/>
    <x v="121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x v="50"/>
    <x v="121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x v="50"/>
    <x v="121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x v="60"/>
    <x v="2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x v="50"/>
    <x v="121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x v="50"/>
    <x v="121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x v="50"/>
    <x v="121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x v="50"/>
    <x v="121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x v="50"/>
    <x v="121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x v="78"/>
    <b v="0"/>
    <s v="journalism/audio"/>
    <x v="50"/>
    <x v="121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x v="60"/>
    <x v="73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x v="50"/>
    <x v="121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x v="80"/>
    <b v="0"/>
    <s v="journalism/audio"/>
    <x v="162"/>
    <x v="12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x v="50"/>
    <x v="121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x v="114"/>
    <x v="781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x v="56"/>
    <x v="78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x v="56"/>
    <x v="78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x v="73"/>
    <x v="31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x v="50"/>
    <x v="784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x v="115"/>
    <x v="785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x v="60"/>
    <x v="431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x v="50"/>
    <x v="121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x v="50"/>
    <x v="786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x v="60"/>
    <x v="119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x v="52"/>
    <x v="78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x v="62"/>
    <x v="2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x v="163"/>
    <x v="78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x v="129"/>
    <x v="716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x v="59"/>
    <x v="373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x v="56"/>
    <x v="789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x v="114"/>
    <x v="790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x v="50"/>
    <x v="362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x v="60"/>
    <x v="791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x v="60"/>
    <x v="792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x v="78"/>
    <b v="0"/>
    <s v="games/video games"/>
    <x v="50"/>
    <x v="121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x v="56"/>
    <x v="793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x v="84"/>
    <b v="0"/>
    <s v="games/video games"/>
    <x v="50"/>
    <x v="501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x v="50"/>
    <x v="121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x v="51"/>
    <x v="794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x v="59"/>
    <x v="775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x v="50"/>
    <x v="144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x v="55"/>
    <x v="381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x v="60"/>
    <x v="362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x v="51"/>
    <x v="491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x v="82"/>
    <x v="795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x v="62"/>
    <x v="796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x v="82"/>
    <x v="797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x v="50"/>
    <x v="798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x v="113"/>
    <x v="799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x v="60"/>
    <x v="380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x v="56"/>
    <x v="119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x v="50"/>
    <x v="800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x v="62"/>
    <x v="80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x v="53"/>
    <x v="78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x v="62"/>
    <x v="802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x v="50"/>
    <x v="803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x v="139"/>
    <x v="804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x v="50"/>
    <x v="121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x v="56"/>
    <x v="805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x v="50"/>
    <x v="2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x v="60"/>
    <x v="806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x v="50"/>
    <x v="120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x v="71"/>
    <x v="807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x v="60"/>
    <x v="144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x v="50"/>
    <x v="808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x v="50"/>
    <x v="508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x v="50"/>
    <x v="809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x v="59"/>
    <x v="810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x v="53"/>
    <x v="811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x v="50"/>
    <x v="144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x v="50"/>
    <x v="121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x v="50"/>
    <x v="812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x v="50"/>
    <x v="121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x v="50"/>
    <x v="813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x v="50"/>
    <x v="814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x v="50"/>
    <x v="121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x v="60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x v="53"/>
    <x v="815"/>
    <x v="6"/>
    <x v="18"/>
  </r>
  <r>
    <n v="1128"/>
    <x v="1128"/>
    <s v="#havingfunFTW"/>
    <n v="1000"/>
    <x v="116"/>
    <x v="2"/>
    <x v="1"/>
    <s v="GBP"/>
    <n v="1407425717"/>
    <n v="1404833717"/>
    <b v="0"/>
    <x v="29"/>
    <b v="0"/>
    <s v="games/mobile games"/>
    <x v="50"/>
    <x v="120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x v="50"/>
    <x v="678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x v="50"/>
    <x v="813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x v="50"/>
    <x v="121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x v="51"/>
    <x v="816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x v="60"/>
    <x v="135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x v="5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x v="62"/>
    <x v="73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x v="52"/>
    <x v="817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x v="67"/>
    <x v="818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x v="50"/>
    <x v="672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x v="50"/>
    <x v="144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x v="50"/>
    <x v="121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x v="78"/>
    <b v="0"/>
    <s v="games/mobile games"/>
    <x v="50"/>
    <x v="121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x v="50"/>
    <x v="121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x v="50"/>
    <x v="819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x v="50"/>
    <x v="121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x v="50"/>
    <x v="101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x v="114"/>
    <x v="820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x v="50"/>
    <x v="121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x v="50"/>
    <x v="821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x v="50"/>
    <x v="822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x v="54"/>
    <x v="823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x v="50"/>
    <x v="121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x v="41"/>
    <b v="0"/>
    <s v="food/food trucks"/>
    <x v="52"/>
    <x v="824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x v="60"/>
    <x v="73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x v="113"/>
    <x v="149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x v="60"/>
    <x v="82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x v="50"/>
    <x v="121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x v="53"/>
    <x v="679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x v="50"/>
    <x v="123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x v="50"/>
    <x v="121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x v="65"/>
    <x v="826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x v="50"/>
    <x v="121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x v="50"/>
    <x v="827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x v="5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x v="50"/>
    <x v="121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x v="70"/>
    <x v="828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x v="118"/>
    <x v="829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x v="53"/>
    <x v="830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x v="52"/>
    <x v="831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x v="50"/>
    <x v="161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x v="50"/>
    <x v="73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x v="50"/>
    <x v="380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x v="78"/>
    <b v="0"/>
    <s v="food/food trucks"/>
    <x v="5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x v="50"/>
    <x v="179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x v="52"/>
    <x v="832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x v="56"/>
    <x v="177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x v="50"/>
    <x v="119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x v="50"/>
    <x v="121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x v="50"/>
    <x v="144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x v="62"/>
    <x v="833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x v="81"/>
    <x v="834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x v="50"/>
    <x v="835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x v="65"/>
    <x v="678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x v="65"/>
    <x v="836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x v="2"/>
    <x v="837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x v="2"/>
    <x v="838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x v="13"/>
    <x v="839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x v="3"/>
    <x v="840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x v="164"/>
    <x v="841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x v="29"/>
    <x v="842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x v="165"/>
    <x v="843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x v="15"/>
    <x v="84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x v="3"/>
    <x v="846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x v="165"/>
    <x v="848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x v="168"/>
    <x v="849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x v="169"/>
    <x v="850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x v="170"/>
    <x v="851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x v="7"/>
    <x v="852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x v="9"/>
    <x v="8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x v="21"/>
    <x v="854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x v="171"/>
    <x v="855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x v="21"/>
    <x v="856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x v="33"/>
    <x v="857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x v="7"/>
    <x v="85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x v="41"/>
    <x v="859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x v="3"/>
    <x v="860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x v="19"/>
    <x v="861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x v="6"/>
    <x v="862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x v="172"/>
    <x v="863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x v="7"/>
    <x v="864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x v="32"/>
    <x v="865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x v="21"/>
    <x v="866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x v="88"/>
    <x v="867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x v="173"/>
    <x v="868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x v="91"/>
    <x v="869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x v="33"/>
    <x v="870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x v="174"/>
    <x v="87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x v="175"/>
    <x v="872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x v="3"/>
    <x v="873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x v="38"/>
    <x v="874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x v="176"/>
    <x v="875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x v="20"/>
    <x v="876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x v="113"/>
    <x v="877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x v="65"/>
    <x v="878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x v="65"/>
    <x v="879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x v="50"/>
    <x v="121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x v="129"/>
    <x v="880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x v="60"/>
    <x v="380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x v="50"/>
    <x v="121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x v="50"/>
    <x v="121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x v="60"/>
    <x v="375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x v="81"/>
    <x v="845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x v="50"/>
    <x v="121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x v="56"/>
    <x v="431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x v="78"/>
    <b v="0"/>
    <s v="music/world music"/>
    <x v="50"/>
    <x v="121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x v="50"/>
    <x v="121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x v="82"/>
    <x v="881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x v="50"/>
    <x v="121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x v="56"/>
    <x v="882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x v="76"/>
    <x v="883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x v="60"/>
    <x v="144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x v="51"/>
    <x v="884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x v="3"/>
    <x v="885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x v="28"/>
    <x v="886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x v="16"/>
    <x v="887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x v="108"/>
    <x v="888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x v="143"/>
    <x v="889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x v="177"/>
    <x v="891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x v="21"/>
    <x v="892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x v="178"/>
    <x v="893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x v="171"/>
    <x v="895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x v="180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x v="90"/>
    <x v="897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x v="181"/>
    <x v="898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x v="182"/>
    <x v="899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x v="3"/>
    <x v="900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x v="35"/>
    <x v="901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x v="7"/>
    <x v="902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x v="105"/>
    <x v="903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x v="17"/>
    <x v="90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x v="17"/>
    <x v="906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x v="8"/>
    <x v="907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x v="21"/>
    <x v="908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x v="16"/>
    <x v="909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x v="15"/>
    <x v="910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x v="41"/>
    <x v="911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x v="6"/>
    <x v="913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x v="3"/>
    <x v="468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x v="19"/>
    <x v="914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x v="184"/>
    <x v="915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x v="3"/>
    <x v="916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x v="6"/>
    <x v="917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x v="19"/>
    <x v="918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x v="38"/>
    <x v="919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x v="38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x v="38"/>
    <x v="921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x v="39"/>
    <x v="922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x v="185"/>
    <x v="92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x v="7"/>
    <x v="774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x v="21"/>
    <x v="924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x v="186"/>
    <x v="926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x v="8"/>
    <x v="92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x v="105"/>
    <x v="92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x v="15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x v="91"/>
    <x v="930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x v="5"/>
    <x v="931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x v="21"/>
    <x v="932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x v="108"/>
    <x v="93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x v="21"/>
    <x v="934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x v="48"/>
    <x v="935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x v="5"/>
    <x v="936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x v="2"/>
    <x v="937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x v="39"/>
    <x v="938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x v="165"/>
    <x v="939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x v="33"/>
    <x v="940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x v="8"/>
    <x v="73"/>
    <x v="1"/>
    <x v="6"/>
  </r>
  <r>
    <n v="1303"/>
    <x v="1303"/>
    <s v="Groundbreaking queer theatre."/>
    <n v="3500"/>
    <x v="912"/>
    <x v="0"/>
    <x v="1"/>
    <s v="GBP"/>
    <n v="1469962800"/>
    <n v="1468578920"/>
    <b v="0"/>
    <x v="52"/>
    <b v="1"/>
    <s v="theater/plays"/>
    <x v="22"/>
    <x v="94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x v="67"/>
    <x v="942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x v="187"/>
    <x v="943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x v="81"/>
    <x v="944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x v="57"/>
    <x v="945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x v="20"/>
    <x v="946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x v="63"/>
    <x v="947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x v="188"/>
    <x v="948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x v="60"/>
    <x v="13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x v="134"/>
    <x v="949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x v="60"/>
    <x v="950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x v="67"/>
    <x v="951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x v="50"/>
    <x v="120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x v="52"/>
    <x v="952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x v="77"/>
    <x v="953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x v="77"/>
    <x v="954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x v="60"/>
    <x v="955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x v="60"/>
    <x v="95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x v="50"/>
    <x v="717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x v="114"/>
    <x v="95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x v="54"/>
    <x v="958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x v="53"/>
    <x v="959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x v="60"/>
    <x v="960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x v="65"/>
    <x v="961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x v="53"/>
    <x v="962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x v="60"/>
    <x v="96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x v="66"/>
    <x v="964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x v="60"/>
    <x v="96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x v="50"/>
    <x v="121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x v="50"/>
    <x v="121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x v="57"/>
    <x v="707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x v="68"/>
    <x v="966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x v="189"/>
    <x v="967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x v="190"/>
    <x v="968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x v="56"/>
    <x v="969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x v="113"/>
    <x v="970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x v="50"/>
    <x v="121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x v="140"/>
    <x v="971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x v="50"/>
    <x v="101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x v="21"/>
    <x v="972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x v="191"/>
    <x v="291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x v="105"/>
    <x v="973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x v="21"/>
    <x v="976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x v="142"/>
    <x v="977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x v="3"/>
    <x v="199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x v="7"/>
    <x v="9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x v="104"/>
    <x v="979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x v="84"/>
    <x v="980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x v="22"/>
    <x v="981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x v="4"/>
    <x v="982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x v="25"/>
    <x v="983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x v="105"/>
    <x v="984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x v="20"/>
    <x v="985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x v="31"/>
    <x v="986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x v="36"/>
    <x v="98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x v="9"/>
    <x v="988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x v="15"/>
    <x v="989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x v="17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x v="8"/>
    <x v="991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x v="206"/>
    <b v="1"/>
    <s v="music/rock"/>
    <x v="9"/>
    <x v="992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x v="35"/>
    <x v="993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x v="38"/>
    <x v="994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x v="2"/>
    <x v="995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x v="3"/>
    <x v="996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x v="13"/>
    <x v="99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x v="38"/>
    <b v="1"/>
    <s v="music/rock"/>
    <x v="39"/>
    <x v="998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x v="2"/>
    <x v="999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x v="192"/>
    <x v="1000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x v="193"/>
    <x v="1001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x v="194"/>
    <x v="1002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x v="31"/>
    <x v="1003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x v="182"/>
    <b v="1"/>
    <s v="music/rock"/>
    <x v="195"/>
    <x v="1004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x v="20"/>
    <x v="1005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x v="13"/>
    <x v="919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x v="3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x v="197"/>
    <x v="1007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x v="39"/>
    <x v="1008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x v="5"/>
    <x v="1009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x v="198"/>
    <x v="368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x v="0"/>
    <x v="1010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x v="165"/>
    <x v="1011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x v="14"/>
    <x v="1012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x v="15"/>
    <x v="1013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x v="5"/>
    <x v="1014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x v="35"/>
    <x v="1015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x v="47"/>
    <b v="1"/>
    <s v="music/rock"/>
    <x v="21"/>
    <x v="1016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x v="108"/>
    <x v="1017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x v="141"/>
    <b v="1"/>
    <s v="music/rock"/>
    <x v="20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x v="13"/>
    <x v="10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x v="35"/>
    <x v="1020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x v="5"/>
    <x v="1021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x v="9"/>
    <x v="1022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x v="199"/>
    <x v="246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x v="15"/>
    <x v="1024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x v="3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x v="53"/>
    <x v="1026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x v="50"/>
    <x v="1027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x v="50"/>
    <x v="144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x v="60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x v="113"/>
    <x v="1028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x v="50"/>
    <x v="121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x v="50"/>
    <x v="120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x v="50"/>
    <x v="1029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x v="62"/>
    <x v="1030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x v="62"/>
    <x v="101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x v="50"/>
    <x v="120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x v="82"/>
    <x v="1031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x v="50"/>
    <x v="121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x v="60"/>
    <x v="440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x v="50"/>
    <x v="1032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x v="113"/>
    <x v="884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x v="56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x v="50"/>
    <x v="101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x v="50"/>
    <x v="31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x v="50"/>
    <x v="101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x v="50"/>
    <x v="121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x v="50"/>
    <x v="121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x v="59"/>
    <x v="1034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x v="62"/>
    <x v="2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x v="50"/>
    <x v="121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x v="59"/>
    <x v="128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x v="188"/>
    <x v="103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x v="50"/>
    <x v="121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x v="113"/>
    <x v="1036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x v="54"/>
    <x v="1037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x v="50"/>
    <x v="501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x v="60"/>
    <x v="1038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x v="117"/>
    <x v="1039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x v="56"/>
    <x v="753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x v="113"/>
    <x v="179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x v="50"/>
    <x v="120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x v="60"/>
    <x v="1040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x v="50"/>
    <x v="121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x v="50"/>
    <x v="121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x v="50"/>
    <x v="121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x v="50"/>
    <x v="121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x v="50"/>
    <x v="121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x v="5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x v="50"/>
    <x v="121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x v="50"/>
    <x v="121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x v="50"/>
    <x v="120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x v="50"/>
    <x v="120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x v="50"/>
    <x v="121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x v="50"/>
    <x v="121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x v="60"/>
    <x v="2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x v="57"/>
    <x v="1041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x v="56"/>
    <x v="1042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x v="50"/>
    <x v="121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x v="50"/>
    <x v="121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x v="50"/>
    <x v="121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x v="50"/>
    <x v="121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x v="7"/>
    <x v="1043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x v="15"/>
    <x v="104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x v="34"/>
    <x v="1045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x v="302"/>
    <b v="1"/>
    <s v="publishing/radio &amp; podcasts"/>
    <x v="200"/>
    <x v="1046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x v="201"/>
    <x v="1047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x v="29"/>
    <x v="1048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x v="41"/>
    <x v="1049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x v="21"/>
    <x v="1050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x v="29"/>
    <x v="1051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x v="105"/>
    <x v="1052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x v="3"/>
    <x v="1053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x v="86"/>
    <x v="1054"/>
    <x v="3"/>
    <x v="23"/>
  </r>
  <r>
    <n v="1473"/>
    <x v="1473"/>
    <s v="Public Radio Project"/>
    <n v="1500"/>
    <x v="1023"/>
    <x v="0"/>
    <x v="0"/>
    <s v="USD"/>
    <n v="1330644639"/>
    <n v="1328052639"/>
    <b v="1"/>
    <x v="5"/>
    <b v="1"/>
    <s v="publishing/radio &amp; podcasts"/>
    <x v="10"/>
    <x v="1055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x v="20"/>
    <x v="1056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x v="192"/>
    <x v="105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x v="202"/>
    <x v="1058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x v="38"/>
    <x v="1059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x v="203"/>
    <x v="1060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x v="0"/>
    <x v="1061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x v="16"/>
    <x v="1062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x v="53"/>
    <x v="827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x v="50"/>
    <x v="144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x v="60"/>
    <x v="380"/>
    <x v="3"/>
    <x v="10"/>
  </r>
  <r>
    <n v="1484"/>
    <x v="1484"/>
    <s v="The mussings of an old wizard"/>
    <n v="2000"/>
    <x v="117"/>
    <x v="2"/>
    <x v="0"/>
    <s v="USD"/>
    <n v="1342882260"/>
    <n v="1337834963"/>
    <b v="0"/>
    <x v="78"/>
    <b v="0"/>
    <s v="publishing/fiction"/>
    <x v="50"/>
    <x v="121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x v="53"/>
    <x v="73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x v="50"/>
    <x v="580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x v="50"/>
    <x v="121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x v="53"/>
    <x v="88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x v="50"/>
    <x v="121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x v="134"/>
    <x v="1063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x v="60"/>
    <x v="2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x v="50"/>
    <x v="121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x v="114"/>
    <x v="1064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x v="50"/>
    <x v="121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x v="50"/>
    <x v="121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x v="50"/>
    <x v="120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x v="53"/>
    <x v="1065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x v="50"/>
    <x v="144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x v="78"/>
    <x v="1066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x v="183"/>
    <x v="1067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x v="7"/>
    <x v="1068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x v="29"/>
    <x v="1069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x v="204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x v="3"/>
    <x v="1071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x v="205"/>
    <x v="1073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x v="38"/>
    <x v="1074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x v="39"/>
    <x v="1075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x v="7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x v="20"/>
    <x v="1077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x v="206"/>
    <x v="107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x v="95"/>
    <x v="1079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x v="6"/>
    <x v="1080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x v="96"/>
    <x v="1081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x v="15"/>
    <x v="1082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x v="184"/>
    <x v="1083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x v="207"/>
    <x v="1084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x v="33"/>
    <x v="1085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x v="33"/>
    <x v="1086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x v="13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x v="86"/>
    <x v="1088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x v="105"/>
    <x v="4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x v="110"/>
    <x v="108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x v="107"/>
    <x v="1090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x v="28"/>
    <x v="1091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x v="5"/>
    <x v="216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x v="208"/>
    <x v="1092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x v="7"/>
    <x v="1093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x v="165"/>
    <x v="1094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x v="98"/>
    <x v="1095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x v="209"/>
    <x v="1096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x v="14"/>
    <x v="1097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x v="88"/>
    <x v="1099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x v="211"/>
    <x v="1100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x v="144"/>
    <x v="1101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x v="33"/>
    <x v="1102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x v="104"/>
    <x v="1103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x v="90"/>
    <x v="1104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x v="50"/>
    <x v="362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x v="65"/>
    <x v="135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x v="50"/>
    <x v="119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x v="50"/>
    <x v="121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x v="50"/>
    <x v="120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x v="129"/>
    <x v="1105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x v="50"/>
    <x v="121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x v="114"/>
    <x v="88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x v="122"/>
    <x v="1106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x v="55"/>
    <x v="1107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x v="50"/>
    <x v="121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x v="190"/>
    <x v="1108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x v="50"/>
    <x v="121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x v="50"/>
    <x v="121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x v="50"/>
    <x v="121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x v="79"/>
    <x v="1109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x v="65"/>
    <x v="101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x v="62"/>
    <x v="123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x v="50"/>
    <x v="73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x v="65"/>
    <x v="82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x v="50"/>
    <x v="121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x v="60"/>
    <x v="65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x v="50"/>
    <x v="119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x v="56"/>
    <x v="101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x v="70"/>
    <x v="1110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x v="65"/>
    <x v="1111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x v="51"/>
    <x v="1112"/>
    <x v="3"/>
    <x v="25"/>
  </r>
  <r>
    <n v="1569"/>
    <x v="1569"/>
    <s v="to be removed"/>
    <n v="30000"/>
    <x v="117"/>
    <x v="1"/>
    <x v="0"/>
    <s v="USD"/>
    <n v="1369498714"/>
    <n v="1366906714"/>
    <b v="0"/>
    <x v="78"/>
    <b v="0"/>
    <s v="publishing/art books"/>
    <x v="50"/>
    <x v="121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x v="139"/>
    <x v="1113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x v="60"/>
    <x v="135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x v="62"/>
    <x v="683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x v="53"/>
    <x v="1114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x v="62"/>
    <x v="1115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x v="61"/>
    <x v="1116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x v="55"/>
    <x v="177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x v="57"/>
    <x v="22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x v="60"/>
    <x v="448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x v="50"/>
    <x v="121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x v="60"/>
    <x v="144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x v="114"/>
    <x v="1117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x v="50"/>
    <x v="2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x v="50"/>
    <x v="121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x v="135"/>
    <x v="1118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x v="50"/>
    <x v="121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x v="50"/>
    <x v="120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x v="50"/>
    <x v="121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x v="50"/>
    <x v="121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x v="84"/>
    <b v="0"/>
    <s v="photography/places"/>
    <x v="53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x v="129"/>
    <x v="1120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x v="50"/>
    <x v="121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x v="50"/>
    <x v="120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x v="70"/>
    <x v="372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x v="50"/>
    <x v="375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x v="53"/>
    <x v="380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x v="50"/>
    <x v="121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x v="50"/>
    <x v="120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x v="50"/>
    <x v="121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x v="113"/>
    <x v="99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x v="29"/>
    <x v="1042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x v="8"/>
    <x v="1121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x v="108"/>
    <x v="1123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x v="7"/>
    <x v="1124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x v="7"/>
    <x v="1125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x v="14"/>
    <x v="112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x v="7"/>
    <x v="1127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x v="90"/>
    <x v="1128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x v="212"/>
    <x v="1129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x v="74"/>
    <b v="1"/>
    <s v="music/rock"/>
    <x v="105"/>
    <x v="1130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x v="5"/>
    <x v="73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x v="21"/>
    <x v="1131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x v="33"/>
    <x v="1122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x v="35"/>
    <x v="1132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x v="3"/>
    <x v="1133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x v="91"/>
    <x v="1134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x v="2"/>
    <x v="1135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x v="18"/>
    <x v="113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x v="40"/>
    <x v="113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x v="10"/>
    <x v="113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x v="21"/>
    <x v="1139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x v="7"/>
    <x v="1140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x v="90"/>
    <x v="1141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x v="19"/>
    <x v="114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x v="7"/>
    <x v="1143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x v="16"/>
    <x v="1144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x v="7"/>
    <x v="1145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x v="3"/>
    <x v="1146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x v="213"/>
    <x v="1147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x v="94"/>
    <x v="1148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x v="21"/>
    <x v="11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x v="8"/>
    <x v="1150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x v="7"/>
    <x v="115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x v="105"/>
    <x v="1152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x v="3"/>
    <x v="1153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x v="3"/>
    <x v="1154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x v="2"/>
    <x v="1155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x v="8"/>
    <x v="1156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x v="106"/>
    <x v="115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x v="7"/>
    <x v="1158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x v="8"/>
    <x v="314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x v="105"/>
    <x v="1159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x v="5"/>
    <x v="1160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x v="38"/>
    <x v="1161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x v="5"/>
    <x v="1162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x v="2"/>
    <x v="116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x v="105"/>
    <x v="1164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x v="7"/>
    <x v="1165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x v="24"/>
    <x v="1166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x v="7"/>
    <x v="1167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x v="7"/>
    <x v="1168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x v="107"/>
    <x v="1169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x v="28"/>
    <x v="1170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x v="1"/>
    <x v="1171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x v="8"/>
    <x v="1172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x v="2"/>
    <x v="1173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x v="88"/>
    <x v="1174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x v="40"/>
    <x v="1175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x v="3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x v="33"/>
    <x v="1177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x v="29"/>
    <x v="1178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x v="108"/>
    <x v="1179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x v="17"/>
    <x v="1180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x v="164"/>
    <x v="1181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x v="37"/>
    <x v="1182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x v="33"/>
    <x v="1183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x v="33"/>
    <x v="1184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x v="7"/>
    <x v="118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x v="40"/>
    <x v="1186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x v="30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x v="180"/>
    <x v="1188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x v="0"/>
    <x v="208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x v="41"/>
    <x v="1189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x v="20"/>
    <x v="1190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x v="90"/>
    <x v="1191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x v="215"/>
    <x v="368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x v="90"/>
    <x v="1192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x v="7"/>
    <x v="1193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x v="50"/>
    <x v="121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x v="66"/>
    <x v="1194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x v="15"/>
    <x v="1195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x v="33"/>
    <x v="1196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x v="5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x v="134"/>
    <x v="1197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x v="156"/>
    <x v="1198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x v="25"/>
    <b v="0"/>
    <s v="music/faith"/>
    <x v="8"/>
    <x v="1199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x v="78"/>
    <x v="1200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x v="69"/>
    <x v="1201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x v="216"/>
    <x v="1202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x v="114"/>
    <x v="431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x v="5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x v="81"/>
    <x v="1203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x v="50"/>
    <x v="121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x v="50"/>
    <x v="121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x v="65"/>
    <x v="1205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x v="73"/>
    <x v="1206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x v="50"/>
    <x v="144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x v="29"/>
    <b v="0"/>
    <s v="music/faith"/>
    <x v="50"/>
    <x v="120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x v="60"/>
    <x v="156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x v="187"/>
    <x v="1207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x v="50"/>
    <x v="121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x v="50"/>
    <x v="121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x v="54"/>
    <x v="1208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x v="50"/>
    <x v="121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x v="62"/>
    <x v="1209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x v="60"/>
    <x v="441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x v="57"/>
    <x v="1210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x v="50"/>
    <x v="121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x v="53"/>
    <x v="73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x v="59"/>
    <x v="121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x v="50"/>
    <x v="148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x v="59"/>
    <x v="73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x v="152"/>
    <x v="1212"/>
    <x v="4"/>
    <x v="28"/>
  </r>
  <r>
    <n v="1718"/>
    <x v="1718"/>
    <s v="A melody for the galaxy."/>
    <n v="35000"/>
    <x v="735"/>
    <x v="2"/>
    <x v="0"/>
    <s v="USD"/>
    <n v="1463201940"/>
    <n v="1459435149"/>
    <b v="0"/>
    <x v="84"/>
    <b v="0"/>
    <s v="music/faith"/>
    <x v="50"/>
    <x v="822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x v="60"/>
    <x v="123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x v="52"/>
    <x v="12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x v="50"/>
    <x v="121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x v="50"/>
    <x v="120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x v="113"/>
    <x v="1214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x v="60"/>
    <x v="43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x v="54"/>
    <x v="1215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x v="122"/>
    <x v="1216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x v="50"/>
    <x v="120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x v="149"/>
    <x v="1217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x v="50"/>
    <x v="121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x v="50"/>
    <x v="121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x v="50"/>
    <x v="121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x v="50"/>
    <x v="121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x v="50"/>
    <x v="121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x v="50"/>
    <x v="120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x v="57"/>
    <x v="687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x v="60"/>
    <x v="1218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x v="70"/>
    <x v="98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x v="50"/>
    <x v="135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x v="50"/>
    <x v="120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x v="50"/>
    <x v="121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x v="38"/>
    <x v="1219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x v="15"/>
    <x v="1220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x v="8"/>
    <x v="1221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x v="90"/>
    <x v="1222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x v="35"/>
    <x v="1223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x v="34"/>
    <x v="1224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x v="2"/>
    <x v="1225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x v="22"/>
    <x v="1226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x v="4"/>
    <x v="1156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x v="180"/>
    <x v="1227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x v="33"/>
    <x v="1228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x v="217"/>
    <x v="122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x v="29"/>
    <x v="1230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x v="38"/>
    <x v="1231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x v="28"/>
    <x v="501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x v="33"/>
    <x v="1232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x v="31"/>
    <x v="1233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x v="41"/>
    <x v="1234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x v="13"/>
    <x v="1235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x v="11"/>
    <x v="1236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x v="19"/>
    <x v="123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x v="218"/>
    <x v="1238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x v="21"/>
    <x v="1239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x v="68"/>
    <x v="1240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x v="155"/>
    <x v="1241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x v="50"/>
    <x v="121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x v="132"/>
    <x v="124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x v="65"/>
    <x v="1243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x v="56"/>
    <x v="124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x v="219"/>
    <x v="450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x v="70"/>
    <x v="1245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x v="63"/>
    <x v="124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x v="52"/>
    <x v="1247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x v="132"/>
    <x v="1248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x v="187"/>
    <x v="1249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x v="113"/>
    <x v="33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x v="51"/>
    <x v="1250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x v="53"/>
    <x v="1251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x v="71"/>
    <x v="1252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x v="67"/>
    <x v="1253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x v="73"/>
    <x v="125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x v="77"/>
    <x v="1255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x v="148"/>
    <x v="1256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x v="67"/>
    <x v="1257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x v="68"/>
    <x v="1258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x v="216"/>
    <x v="1259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x v="77"/>
    <x v="1260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x v="60"/>
    <x v="1065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x v="60"/>
    <x v="119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x v="62"/>
    <x v="1033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x v="65"/>
    <x v="1261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x v="220"/>
    <x v="1262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x v="57"/>
    <x v="1263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x v="115"/>
    <x v="1264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x v="66"/>
    <x v="1265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x v="149"/>
    <x v="1266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x v="51"/>
    <x v="126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x v="53"/>
    <x v="1268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x v="68"/>
    <x v="1269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x v="51"/>
    <x v="1270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x v="216"/>
    <x v="1271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x v="134"/>
    <x v="1272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x v="131"/>
    <x v="1273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x v="71"/>
    <x v="127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x v="56"/>
    <x v="1275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x v="57"/>
    <x v="1276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x v="139"/>
    <x v="12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x v="57"/>
    <x v="1278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x v="56"/>
    <x v="501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x v="50"/>
    <x v="1279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x v="55"/>
    <x v="1280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x v="50"/>
    <x v="121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x v="190"/>
    <x v="1281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x v="50"/>
    <x v="121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x v="53"/>
    <x v="1282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x v="221"/>
    <x v="1283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x v="50"/>
    <x v="121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x v="53"/>
    <x v="1284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x v="113"/>
    <x v="1285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x v="165"/>
    <x v="128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x v="8"/>
    <x v="50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x v="31"/>
    <x v="1287"/>
    <x v="4"/>
    <x v="11"/>
  </r>
  <r>
    <n v="1824"/>
    <x v="1824"/>
    <s v="cd fund raiser"/>
    <n v="3000"/>
    <x v="1243"/>
    <x v="0"/>
    <x v="0"/>
    <s v="USD"/>
    <n v="1389146880"/>
    <n v="1387403967"/>
    <b v="0"/>
    <x v="244"/>
    <b v="1"/>
    <s v="music/rock"/>
    <x v="8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x v="2"/>
    <x v="1289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x v="44"/>
    <b v="1"/>
    <s v="music/rock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x v="8"/>
    <x v="1292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x v="23"/>
    <x v="1293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x v="21"/>
    <x v="558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x v="33"/>
    <x v="1294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x v="1"/>
    <x v="380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x v="222"/>
    <x v="823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x v="240"/>
    <b v="1"/>
    <s v="music/rock"/>
    <x v="90"/>
    <x v="1295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x v="3"/>
    <x v="1296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x v="165"/>
    <b v="1"/>
    <s v="music/rock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x v="223"/>
    <x v="1298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x v="8"/>
    <x v="1299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x v="207"/>
    <x v="1300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x v="15"/>
    <x v="1301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x v="21"/>
    <x v="1302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x v="39"/>
    <x v="130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x v="8"/>
    <x v="1306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x v="178"/>
    <x v="1307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x v="13"/>
    <x v="574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x v="8"/>
    <x v="1309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x v="21"/>
    <x v="1310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x v="8"/>
    <x v="1311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x v="16"/>
    <x v="1312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x v="21"/>
    <x v="1313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x v="21"/>
    <x v="131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x v="224"/>
    <x v="1315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x v="7"/>
    <x v="1316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x v="8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x v="15"/>
    <x v="1318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x v="66"/>
    <b v="1"/>
    <s v="music/rock"/>
    <x v="88"/>
    <x v="1319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x v="18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x v="50"/>
    <x v="121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x v="59"/>
    <x v="1321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x v="50"/>
    <x v="144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x v="152"/>
    <x v="1322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x v="50"/>
    <x v="447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x v="60"/>
    <x v="368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x v="50"/>
    <x v="119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x v="62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x v="50"/>
    <x v="121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x v="54"/>
    <x v="1323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x v="225"/>
    <x v="1324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x v="60"/>
    <x v="1325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x v="50"/>
    <x v="656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x v="50"/>
    <x v="31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x v="60"/>
    <x v="1326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x v="50"/>
    <x v="121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x v="50"/>
    <x v="121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x v="50"/>
    <x v="121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x v="50"/>
    <x v="362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x v="68"/>
    <x v="1327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x v="36"/>
    <x v="1328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x v="7"/>
    <x v="1329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x v="2"/>
    <x v="1330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x v="165"/>
    <x v="1331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x v="31"/>
    <x v="901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x v="21"/>
    <x v="1332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x v="183"/>
    <x v="1334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x v="13"/>
    <x v="974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x v="6"/>
    <x v="133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x v="0"/>
    <x v="1105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x v="3"/>
    <x v="1337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x v="41"/>
    <x v="1338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x v="21"/>
    <x v="1339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x v="39"/>
    <x v="1340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x v="21"/>
    <x v="1341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x v="14"/>
    <x v="1342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x v="15"/>
    <x v="1344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x v="56"/>
    <x v="1345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x v="60"/>
    <x v="143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x v="153"/>
    <x v="1346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x v="50"/>
    <x v="380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x v="50"/>
    <x v="678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x v="152"/>
    <x v="1347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x v="50"/>
    <x v="1209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x v="53"/>
    <x v="1348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x v="51"/>
    <x v="1349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x v="115"/>
    <x v="1350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x v="50"/>
    <x v="119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x v="155"/>
    <x v="1351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x v="114"/>
    <x v="179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x v="53"/>
    <x v="447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x v="60"/>
    <x v="1326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x v="16"/>
    <b v="0"/>
    <s v="technology/gadgets"/>
    <x v="226"/>
    <x v="135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x v="60"/>
    <x v="673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x v="153"/>
    <x v="1354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x v="152"/>
    <x v="1355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x v="0"/>
    <x v="1205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x v="31"/>
    <x v="1356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x v="227"/>
    <x v="1357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x v="35"/>
    <x v="1358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x v="228"/>
    <x v="1360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x v="202"/>
    <b v="1"/>
    <s v="music/indie rock"/>
    <x v="33"/>
    <x v="1361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x v="33"/>
    <x v="1362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x v="8"/>
    <x v="1363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x v="37"/>
    <x v="1364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x v="10"/>
    <x v="1365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x v="13"/>
    <x v="1366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x v="174"/>
    <x v="1367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x v="39"/>
    <x v="1368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x v="29"/>
    <x v="1369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x v="16"/>
    <x v="1370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x v="229"/>
    <x v="1371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x v="31"/>
    <x v="1372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x v="38"/>
    <x v="1373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x v="193"/>
    <x v="1374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x v="9"/>
    <x v="1375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x v="178"/>
    <x v="1376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x v="230"/>
    <x v="1377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x v="231"/>
    <x v="1378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x v="232"/>
    <x v="13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x v="7"/>
    <x v="431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x v="233"/>
    <x v="138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x v="6"/>
    <x v="138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x v="234"/>
    <x v="1383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x v="197"/>
    <x v="1384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x v="45"/>
    <x v="1385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x v="235"/>
    <x v="138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x v="236"/>
    <x v="1387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x v="237"/>
    <x v="138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x v="238"/>
    <x v="1389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x v="239"/>
    <x v="1390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x v="240"/>
    <x v="139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x v="96"/>
    <x v="1392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x v="90"/>
    <x v="1393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x v="241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x v="242"/>
    <x v="139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x v="37"/>
    <x v="139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x v="217"/>
    <x v="1397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x v="243"/>
    <x v="1398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x v="110"/>
    <x v="13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x v="244"/>
    <x v="1400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x v="245"/>
    <x v="1401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x v="246"/>
    <x v="1402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x v="247"/>
    <x v="140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x v="222"/>
    <x v="1404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x v="248"/>
    <x v="1405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x v="249"/>
    <x v="1406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x v="250"/>
    <x v="1407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x v="251"/>
    <x v="1408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x v="252"/>
    <x v="1409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x v="253"/>
    <x v="1410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x v="254"/>
    <x v="1411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x v="41"/>
    <x v="1412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x v="255"/>
    <x v="1413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x v="62"/>
    <x v="1414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x v="50"/>
    <x v="121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x v="65"/>
    <x v="1415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x v="70"/>
    <x v="1416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x v="56"/>
    <x v="786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x v="50"/>
    <x v="120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x v="72"/>
    <x v="1417"/>
    <x v="8"/>
    <x v="31"/>
  </r>
  <r>
    <n v="1988"/>
    <x v="1988"/>
    <s v="Expressing art in an image!"/>
    <n v="6000"/>
    <x v="379"/>
    <x v="2"/>
    <x v="0"/>
    <s v="USD"/>
    <n v="1440094742"/>
    <n v="1437502742"/>
    <b v="0"/>
    <x v="29"/>
    <b v="0"/>
    <s v="photography/people"/>
    <x v="50"/>
    <x v="380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x v="60"/>
    <x v="73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x v="123"/>
    <x v="141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x v="113"/>
    <x v="646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x v="50"/>
    <x v="120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x v="50"/>
    <x v="121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x v="50"/>
    <x v="121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x v="59"/>
    <x v="433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x v="50"/>
    <x v="121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x v="50"/>
    <x v="121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x v="73"/>
    <x v="1419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x v="60"/>
    <x v="1420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x v="55"/>
    <x v="380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x v="256"/>
    <x v="1421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x v="258"/>
    <x v="1423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x v="259"/>
    <x v="1424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x v="39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x v="31"/>
    <x v="1427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x v="16"/>
    <x v="1428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x v="83"/>
    <x v="1429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x v="261"/>
    <x v="1240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x v="262"/>
    <x v="1430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x v="263"/>
    <x v="1431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x v="264"/>
    <x v="1432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x v="265"/>
    <x v="1433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x v="40"/>
    <x v="1434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x v="266"/>
    <x v="1435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x v="105"/>
    <x v="1436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x v="21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x v="267"/>
    <x v="1438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x v="269"/>
    <x v="1440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x v="105"/>
    <x v="1441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x v="164"/>
    <x v="1442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x v="270"/>
    <x v="1443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x v="234"/>
    <x v="144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x v="18"/>
    <x v="144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x v="28"/>
    <x v="1446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x v="9"/>
    <x v="1447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x v="271"/>
    <x v="1448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x v="235"/>
    <x v="1449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x v="28"/>
    <x v="1450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x v="272"/>
    <x v="145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x v="273"/>
    <x v="1453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x v="185"/>
    <x v="1454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x v="88"/>
    <x v="1455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x v="126"/>
    <x v="145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x v="274"/>
    <x v="1457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x v="104"/>
    <x v="1458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x v="260"/>
    <x v="1459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x v="112"/>
    <x v="1460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x v="39"/>
    <x v="1461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x v="275"/>
    <x v="811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x v="29"/>
    <x v="1462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x v="276"/>
    <x v="1463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x v="10"/>
    <x v="1464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x v="33"/>
    <x v="146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x v="34"/>
    <x v="1466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x v="390"/>
    <b v="1"/>
    <s v="technology/hardware"/>
    <x v="28"/>
    <x v="1467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x v="277"/>
    <x v="1468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x v="22"/>
    <x v="1469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x v="278"/>
    <x v="1470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x v="7"/>
    <x v="1471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x v="35"/>
    <x v="147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x v="23"/>
    <x v="1473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x v="42"/>
    <x v="1474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x v="180"/>
    <x v="147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x v="239"/>
    <x v="1476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x v="1"/>
    <x v="14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x v="279"/>
    <x v="1478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x v="29"/>
    <x v="147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x v="41"/>
    <x v="1480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x v="34"/>
    <x v="1481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x v="87"/>
    <x v="344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x v="171"/>
    <x v="1482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x v="198"/>
    <x v="1483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x v="37"/>
    <x v="1484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x v="2"/>
    <x v="1485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x v="30"/>
    <x v="1486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x v="280"/>
    <x v="1487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x v="269"/>
    <x v="1488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x v="38"/>
    <x v="1489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x v="42"/>
    <x v="1490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x v="33"/>
    <x v="1491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x v="281"/>
    <x v="1492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x v="282"/>
    <x v="1493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x v="31"/>
    <x v="1494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x v="26"/>
    <x v="149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x v="283"/>
    <x v="1496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x v="284"/>
    <x v="1497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x v="41"/>
    <x v="1498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x v="38"/>
    <x v="1499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x v="40"/>
    <x v="441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x v="29"/>
    <x v="1500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x v="39"/>
    <x v="1501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x v="7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x v="3"/>
    <x v="1503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x v="31"/>
    <x v="1504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x v="28"/>
    <x v="150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x v="41"/>
    <x v="1506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x v="28"/>
    <x v="1507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x v="7"/>
    <x v="1508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x v="21"/>
    <x v="1509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x v="10"/>
    <x v="1510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x v="8"/>
    <x v="382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x v="21"/>
    <x v="1511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x v="8"/>
    <x v="1512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x v="8"/>
    <x v="15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x v="287"/>
    <b v="1"/>
    <s v="music/indie rock"/>
    <x v="88"/>
    <x v="1514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x v="0"/>
    <x v="1515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x v="40"/>
    <x v="1516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x v="104"/>
    <x v="1517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x v="91"/>
    <x v="1518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x v="22"/>
    <x v="13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x v="172"/>
    <x v="1383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x v="13"/>
    <x v="1519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x v="29"/>
    <x v="1520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x v="13"/>
    <x v="1521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x v="13"/>
    <x v="1522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x v="8"/>
    <x v="1523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x v="13"/>
    <x v="851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x v="8"/>
    <x v="50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x v="2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x v="2"/>
    <x v="1525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x v="235"/>
    <x v="1526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x v="7"/>
    <x v="1527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x v="34"/>
    <x v="1528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x v="165"/>
    <x v="1529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x v="7"/>
    <x v="1530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x v="7"/>
    <x v="1531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x v="60"/>
    <x v="1532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x v="54"/>
    <x v="119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x v="54"/>
    <x v="1534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x v="60"/>
    <x v="1535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x v="50"/>
    <x v="144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x v="129"/>
    <x v="1536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x v="50"/>
    <x v="380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x v="81"/>
    <x v="1537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x v="50"/>
    <x v="1209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x v="62"/>
    <x v="1538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x v="53"/>
    <x v="1539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x v="53"/>
    <x v="1540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x v="53"/>
    <x v="1541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x v="54"/>
    <x v="1542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x v="50"/>
    <x v="1543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x v="58"/>
    <x v="1544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x v="55"/>
    <x v="1545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x v="62"/>
    <x v="1546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x v="50"/>
    <x v="1547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x v="50"/>
    <x v="121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x v="52"/>
    <x v="154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x v="57"/>
    <x v="817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x v="53"/>
    <x v="154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x v="75"/>
    <x v="1550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x v="50"/>
    <x v="120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x v="165"/>
    <b v="0"/>
    <s v="games/video games"/>
    <x v="60"/>
    <x v="1551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x v="53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x v="50"/>
    <x v="121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x v="80"/>
    <b v="0"/>
    <s v="games/video games"/>
    <x v="60"/>
    <x v="1552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x v="50"/>
    <x v="1537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x v="50"/>
    <x v="381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x v="50"/>
    <x v="434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x v="60"/>
    <x v="120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x v="53"/>
    <x v="1534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x v="56"/>
    <x v="1553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x v="58"/>
    <x v="1554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x v="60"/>
    <x v="31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x v="60"/>
    <x v="1556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x v="62"/>
    <b v="1"/>
    <s v="music/rock"/>
    <x v="31"/>
    <x v="155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x v="20"/>
    <x v="1558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x v="88"/>
    <x v="1559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x v="33"/>
    <x v="1560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x v="86"/>
    <x v="1561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x v="92"/>
    <x v="1562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x v="28"/>
    <x v="377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x v="108"/>
    <x v="1563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x v="8"/>
    <x v="1564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x v="141"/>
    <x v="1565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x v="6"/>
    <x v="1566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x v="8"/>
    <x v="909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x v="37"/>
    <x v="1567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x v="33"/>
    <x v="109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x v="211"/>
    <x v="1568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x v="9"/>
    <x v="1569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x v="8"/>
    <x v="92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x v="86"/>
    <x v="1570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x v="164"/>
    <x v="1571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x v="13"/>
    <x v="1572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x v="42"/>
    <x v="1573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x v="285"/>
    <x v="820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x v="286"/>
    <x v="1574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x v="245"/>
    <x v="157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x v="287"/>
    <x v="1576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x v="5"/>
    <x v="1577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x v="288"/>
    <x v="1578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x v="289"/>
    <x v="1579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x v="290"/>
    <x v="1580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x v="85"/>
    <x v="1581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x v="28"/>
    <x v="158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x v="291"/>
    <x v="1583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x v="292"/>
    <x v="1584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x v="293"/>
    <x v="1585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x v="28"/>
    <x v="1586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x v="35"/>
    <x v="1587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x v="294"/>
    <x v="1588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x v="18"/>
    <x v="1589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x v="92"/>
    <x v="1590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x v="295"/>
    <x v="1591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x v="296"/>
    <x v="1592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x v="297"/>
    <x v="476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x v="5"/>
    <x v="1593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x v="143"/>
    <x v="1278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x v="33"/>
    <x v="1595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x v="8"/>
    <x v="1596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x v="21"/>
    <x v="1597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x v="298"/>
    <x v="1598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x v="38"/>
    <x v="159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x v="279"/>
    <x v="603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x v="177"/>
    <x v="119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x v="101"/>
    <x v="1601"/>
    <x v="4"/>
    <x v="15"/>
  </r>
  <r>
    <n v="2215"/>
    <x v="2215"/>
    <s v="Ambient Electro Grind-fest!"/>
    <n v="550"/>
    <x v="1548"/>
    <x v="0"/>
    <x v="0"/>
    <s v="USD"/>
    <n v="1331621940"/>
    <n v="1329671572"/>
    <b v="0"/>
    <x v="51"/>
    <b v="1"/>
    <s v="music/electronic music"/>
    <x v="94"/>
    <x v="1602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x v="6"/>
    <x v="1603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x v="7"/>
    <x v="1604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x v="4"/>
    <x v="1090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x v="21"/>
    <x v="1605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x v="7"/>
    <x v="1606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x v="29"/>
    <x v="1607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x v="200"/>
    <x v="1608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x v="6"/>
    <x v="1609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x v="299"/>
    <x v="1610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x v="300"/>
    <x v="1611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x v="29"/>
    <x v="161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x v="96"/>
    <x v="1613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x v="301"/>
    <x v="1614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x v="193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x v="9"/>
    <x v="161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x v="302"/>
    <x v="1616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x v="303"/>
    <x v="1617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x v="304"/>
    <x v="1618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x v="305"/>
    <x v="1619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x v="42"/>
    <x v="1620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x v="293"/>
    <x v="1621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x v="278"/>
    <x v="1622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x v="0"/>
    <x v="162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x v="30"/>
    <x v="1624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x v="306"/>
    <x v="1625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x v="307"/>
    <x v="1626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x v="308"/>
    <x v="162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x v="309"/>
    <x v="1628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x v="310"/>
    <x v="177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x v="311"/>
    <x v="1629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x v="8"/>
    <x v="1630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x v="3"/>
    <x v="1631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x v="13"/>
    <x v="632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x v="312"/>
    <x v="1323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x v="313"/>
    <x v="1632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x v="84"/>
    <x v="1633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x v="212"/>
    <x v="1634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x v="40"/>
    <x v="1635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x v="314"/>
    <x v="123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x v="315"/>
    <x v="311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x v="316"/>
    <x v="1012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x v="317"/>
    <x v="1636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x v="92"/>
    <x v="1637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x v="318"/>
    <x v="1638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x v="319"/>
    <x v="1639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x v="320"/>
    <x v="1640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x v="224"/>
    <x v="164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x v="31"/>
    <x v="1642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x v="144"/>
    <x v="1643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x v="321"/>
    <x v="1644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x v="322"/>
    <x v="1646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x v="33"/>
    <x v="1647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x v="323"/>
    <x v="1648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x v="324"/>
    <x v="1649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x v="103"/>
    <x v="1650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x v="325"/>
    <x v="1651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x v="47"/>
    <x v="1652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x v="28"/>
    <x v="1653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x v="326"/>
    <x v="1654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x v="6"/>
    <x v="446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x v="48"/>
    <x v="1655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x v="306"/>
    <x v="1656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x v="224"/>
    <x v="1657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x v="327"/>
    <x v="1658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x v="85"/>
    <x v="1659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x v="85"/>
    <x v="1660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x v="7"/>
    <x v="1514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x v="211"/>
    <b v="1"/>
    <s v="music/rock"/>
    <x v="6"/>
    <x v="1661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x v="10"/>
    <x v="1662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x v="8"/>
    <x v="1663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x v="28"/>
    <x v="1664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x v="8"/>
    <x v="1665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x v="13"/>
    <x v="1666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x v="3"/>
    <x v="1667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x v="36"/>
    <x v="1668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x v="13"/>
    <x v="832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x v="29"/>
    <x v="1669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x v="91"/>
    <x v="1670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x v="105"/>
    <x v="167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x v="328"/>
    <x v="1672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x v="7"/>
    <x v="1673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x v="2"/>
    <x v="1674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x v="329"/>
    <x v="1675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x v="7"/>
    <x v="121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x v="84"/>
    <x v="484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x v="193"/>
    <x v="131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x v="15"/>
    <x v="1676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x v="7"/>
    <x v="167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x v="7"/>
    <x v="1678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x v="13"/>
    <x v="167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x v="13"/>
    <x v="1680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x v="7"/>
    <x v="1681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x v="13"/>
    <x v="16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x v="330"/>
    <x v="168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x v="3"/>
    <x v="1684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x v="29"/>
    <x v="1685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x v="98"/>
    <x v="150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x v="96"/>
    <x v="789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x v="3"/>
    <x v="1687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x v="10"/>
    <x v="1689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x v="29"/>
    <x v="1690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x v="15"/>
    <x v="880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x v="115"/>
    <x v="1691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x v="56"/>
    <x v="1209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x v="216"/>
    <x v="179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x v="70"/>
    <x v="1692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x v="59"/>
    <x v="169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x v="60"/>
    <x v="1694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x v="331"/>
    <x v="1695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x v="172"/>
    <x v="1696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x v="6"/>
    <x v="1697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x v="21"/>
    <x v="1698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x v="124"/>
    <x v="1699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x v="6"/>
    <x v="1700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x v="197"/>
    <x v="1701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x v="21"/>
    <x v="1702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x v="21"/>
    <x v="1703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x v="332"/>
    <x v="1704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x v="38"/>
    <x v="1705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x v="7"/>
    <x v="1706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x v="238"/>
    <x v="1707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x v="6"/>
    <x v="1708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x v="50"/>
    <x v="121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x v="50"/>
    <x v="121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x v="56"/>
    <x v="462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x v="50"/>
    <x v="120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x v="50"/>
    <x v="121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x v="50"/>
    <x v="31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x v="53"/>
    <x v="2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x v="50"/>
    <x v="1205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x v="50"/>
    <x v="121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x v="50"/>
    <x v="121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x v="60"/>
    <x v="1709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x v="50"/>
    <x v="121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x v="50"/>
    <x v="121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x v="50"/>
    <x v="380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x v="60"/>
    <x v="440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x v="50"/>
    <x v="121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x v="50"/>
    <x v="121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x v="50"/>
    <x v="121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x v="77"/>
    <x v="1710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x v="50"/>
    <x v="447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x v="50"/>
    <x v="121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x v="129"/>
    <x v="88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x v="50"/>
    <x v="121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x v="50"/>
    <x v="121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x v="50"/>
    <x v="121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x v="57"/>
    <x v="171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x v="60"/>
    <x v="1712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x v="50"/>
    <x v="73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x v="50"/>
    <x v="121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x v="50"/>
    <x v="372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x v="50"/>
    <x v="121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x v="56"/>
    <x v="179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x v="50"/>
    <x v="73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x v="50"/>
    <x v="119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x v="50"/>
    <x v="121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x v="57"/>
    <x v="1713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x v="50"/>
    <x v="121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x v="50"/>
    <x v="121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x v="50"/>
    <x v="121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x v="50"/>
    <x v="1714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x v="53"/>
    <x v="1715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x v="65"/>
    <x v="1716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x v="60"/>
    <x v="120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x v="60"/>
    <x v="171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x v="50"/>
    <x v="121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x v="60"/>
    <x v="1718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x v="50"/>
    <x v="179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x v="50"/>
    <x v="121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x v="50"/>
    <x v="380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x v="50"/>
    <x v="121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x v="50"/>
    <x v="73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x v="50"/>
    <x v="1720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x v="50"/>
    <x v="121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x v="50"/>
    <x v="119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x v="50"/>
    <x v="121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x v="50"/>
    <x v="121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x v="50"/>
    <x v="121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x v="50"/>
    <x v="121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x v="60"/>
    <x v="1721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x v="29"/>
    <b v="0"/>
    <s v="food/food trucks"/>
    <x v="50"/>
    <x v="364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x v="123"/>
    <x v="1722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x v="50"/>
    <x v="121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x v="61"/>
    <x v="172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x v="139"/>
    <x v="1724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x v="78"/>
    <x v="1725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x v="50"/>
    <x v="2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x v="53"/>
    <x v="468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x v="50"/>
    <x v="121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x v="60"/>
    <x v="679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x v="50"/>
    <x v="121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x v="60"/>
    <x v="1538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x v="56"/>
    <x v="1726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x v="50"/>
    <x v="144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x v="50"/>
    <x v="121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x v="81"/>
    <b v="0"/>
    <s v="food/food trucks"/>
    <x v="50"/>
    <x v="120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x v="50"/>
    <x v="121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x v="77"/>
    <x v="1728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x v="50"/>
    <x v="120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x v="50"/>
    <x v="120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x v="50"/>
    <x v="1729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x v="60"/>
    <x v="1730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x v="50"/>
    <x v="120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x v="50"/>
    <x v="121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x v="50"/>
    <x v="120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x v="5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x v="60"/>
    <x v="1731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x v="60"/>
    <x v="678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x v="50"/>
    <x v="120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x v="5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x v="50"/>
    <x v="121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x v="50"/>
    <x v="31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x v="5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x v="50"/>
    <x v="377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x v="50"/>
    <x v="121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x v="5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x v="50"/>
    <x v="121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x v="50"/>
    <x v="144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x v="29"/>
    <x v="173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x v="9"/>
    <x v="9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x v="195"/>
    <x v="1734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x v="239"/>
    <x v="1736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x v="333"/>
    <x v="1737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x v="29"/>
    <x v="173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x v="29"/>
    <x v="466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x v="21"/>
    <x v="1739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x v="41"/>
    <x v="1740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x v="84"/>
    <x v="1741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x v="19"/>
    <x v="3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x v="7"/>
    <x v="1742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x v="112"/>
    <x v="78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x v="141"/>
    <x v="1743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x v="21"/>
    <x v="1744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x v="5"/>
    <x v="1745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x v="21"/>
    <x v="1235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x v="7"/>
    <x v="1746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x v="3"/>
    <x v="1747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x v="38"/>
    <x v="174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x v="11"/>
    <b v="1"/>
    <s v="music/indie rock"/>
    <x v="31"/>
    <x v="1117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x v="38"/>
    <x v="123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x v="144"/>
    <x v="1105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x v="8"/>
    <x v="1749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x v="17"/>
    <x v="1750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x v="13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x v="35"/>
    <x v="1751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x v="104"/>
    <x v="276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x v="8"/>
    <x v="1755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x v="2"/>
    <x v="1090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x v="2"/>
    <x v="1756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x v="193"/>
    <x v="1757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x v="30"/>
    <x v="1758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x v="18"/>
    <x v="1759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x v="8"/>
    <x v="404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x v="8"/>
    <x v="1665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x v="35"/>
    <x v="1761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x v="17"/>
    <x v="1762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x v="334"/>
    <x v="1764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x v="8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x v="13"/>
    <x v="1766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x v="84"/>
    <x v="1767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x v="10"/>
    <x v="1768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x v="33"/>
    <x v="1769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x v="105"/>
    <x v="1770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x v="32"/>
    <x v="1771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x v="7"/>
    <x v="1772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x v="30"/>
    <x v="147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x v="8"/>
    <x v="1773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x v="40"/>
    <x v="1774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x v="6"/>
    <x v="1775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x v="195"/>
    <x v="1776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x v="40"/>
    <x v="1777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x v="56"/>
    <x v="1778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x v="50"/>
    <x v="1779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x v="50"/>
    <x v="121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x v="50"/>
    <x v="121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x v="50"/>
    <x v="121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x v="60"/>
    <x v="2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x v="78"/>
    <b v="0"/>
    <s v="food/restaurants"/>
    <x v="50"/>
    <x v="121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x v="50"/>
    <x v="121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x v="60"/>
    <x v="669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x v="50"/>
    <x v="822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x v="50"/>
    <x v="121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x v="5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x v="50"/>
    <x v="121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x v="53"/>
    <x v="1780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x v="118"/>
    <x v="1781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x v="50"/>
    <x v="121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x v="54"/>
    <x v="1782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x v="50"/>
    <x v="121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x v="50"/>
    <x v="1783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x v="15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x v="8"/>
    <x v="1785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x v="94"/>
    <x v="1786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x v="21"/>
    <x v="1787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x v="8"/>
    <x v="1788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x v="40"/>
    <x v="1789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x v="21"/>
    <x v="212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x v="13"/>
    <x v="1790"/>
    <x v="4"/>
    <x v="35"/>
  </r>
  <r>
    <n v="2529"/>
    <x v="2528"/>
    <s v="Opera. Short. New."/>
    <n v="6000"/>
    <x v="1736"/>
    <x v="0"/>
    <x v="0"/>
    <s v="USD"/>
    <n v="1332636975"/>
    <n v="1328752575"/>
    <b v="0"/>
    <x v="88"/>
    <b v="1"/>
    <s v="music/classical music"/>
    <x v="3"/>
    <x v="1791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x v="8"/>
    <x v="1792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x v="8"/>
    <x v="17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x v="9"/>
    <x v="1794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x v="2"/>
    <x v="1795"/>
    <x v="4"/>
    <x v="35"/>
  </r>
  <r>
    <n v="2535"/>
    <x v="2534"/>
    <s v="Mark Hayes: Requiem Recording"/>
    <n v="20000"/>
    <x v="1741"/>
    <x v="0"/>
    <x v="0"/>
    <s v="USD"/>
    <n v="1417463945"/>
    <n v="1414781945"/>
    <b v="0"/>
    <x v="76"/>
    <b v="1"/>
    <s v="music/classical music"/>
    <x v="3"/>
    <x v="1796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x v="31"/>
    <x v="1797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x v="5"/>
    <x v="101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x v="40"/>
    <x v="1798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x v="8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x v="33"/>
    <x v="1800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x v="13"/>
    <x v="35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x v="3"/>
    <x v="1801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x v="94"/>
    <x v="1802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x v="7"/>
    <x v="1803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x v="228"/>
    <x v="1804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x v="20"/>
    <x v="180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x v="28"/>
    <x v="1806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x v="21"/>
    <x v="1807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x v="33"/>
    <x v="1808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x v="7"/>
    <x v="1809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x v="33"/>
    <x v="1810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x v="13"/>
    <x v="1811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x v="94"/>
    <x v="1812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x v="4"/>
    <x v="1813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x v="13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x v="6"/>
    <x v="1815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x v="90"/>
    <x v="1816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x v="15"/>
    <x v="1817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x v="38"/>
    <x v="1818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x v="8"/>
    <x v="1819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x v="50"/>
    <x v="121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x v="60"/>
    <x v="380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x v="50"/>
    <x v="121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x v="50"/>
    <x v="121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x v="60"/>
    <x v="101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x v="50"/>
    <x v="121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x v="50"/>
    <x v="88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x v="60"/>
    <x v="73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x v="53"/>
    <x v="1820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x v="60"/>
    <x v="1821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x v="50"/>
    <x v="368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x v="50"/>
    <x v="121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x v="5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x v="50"/>
    <x v="121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x v="50"/>
    <x v="121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x v="50"/>
    <x v="121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x v="50"/>
    <x v="121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x v="50"/>
    <x v="1822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x v="60"/>
    <x v="156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x v="57"/>
    <x v="1823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x v="50"/>
    <x v="120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x v="60"/>
    <x v="120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x v="50"/>
    <x v="121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x v="50"/>
    <x v="73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x v="50"/>
    <x v="144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x v="53"/>
    <x v="1824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x v="65"/>
    <x v="1825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x v="50"/>
    <x v="144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x v="50"/>
    <x v="121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x v="53"/>
    <x v="31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x v="50"/>
    <x v="73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x v="50"/>
    <x v="121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x v="50"/>
    <x v="120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x v="81"/>
    <x v="1826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x v="148"/>
    <x v="182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x v="52"/>
    <x v="1828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x v="115"/>
    <x v="1829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x v="60"/>
    <x v="656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x v="113"/>
    <x v="1830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x v="335"/>
    <x v="95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x v="336"/>
    <x v="1831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x v="7"/>
    <x v="1832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x v="3"/>
    <x v="1833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x v="13"/>
    <x v="1834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x v="5"/>
    <x v="1835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x v="326"/>
    <x v="799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x v="337"/>
    <x v="1836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x v="272"/>
    <x v="1837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x v="48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x v="338"/>
    <x v="1839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x v="174"/>
    <x v="700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x v="7"/>
    <x v="1840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x v="21"/>
    <x v="184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x v="106"/>
    <x v="1842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x v="41"/>
    <x v="1843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x v="339"/>
    <x v="1844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x v="2"/>
    <x v="1845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x v="340"/>
    <x v="1341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x v="124"/>
    <x v="1846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x v="91"/>
    <x v="1847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x v="26"/>
    <x v="1848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x v="35"/>
    <x v="1849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x v="341"/>
    <x v="905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x v="342"/>
    <x v="1850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x v="20"/>
    <x v="150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x v="343"/>
    <x v="1851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x v="5"/>
    <x v="1852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x v="30"/>
    <x v="1853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x v="137"/>
    <x v="1854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x v="41"/>
    <x v="1855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x v="0"/>
    <x v="1856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x v="255"/>
    <x v="1857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x v="6"/>
    <x v="1858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x v="8"/>
    <x v="185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x v="229"/>
    <x v="1860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x v="183"/>
    <x v="1861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x v="21"/>
    <x v="1862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x v="344"/>
    <x v="1863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x v="6"/>
    <x v="186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x v="60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x v="50"/>
    <x v="121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x v="122"/>
    <x v="1865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x v="53"/>
    <x v="1866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x v="57"/>
    <x v="1867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x v="59"/>
    <x v="1868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x v="60"/>
    <x v="1028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x v="60"/>
    <x v="1869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x v="83"/>
    <b v="0"/>
    <s v="technology/space exploration"/>
    <x v="50"/>
    <x v="1870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x v="60"/>
    <x v="1871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x v="53"/>
    <x v="187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x v="60"/>
    <x v="1873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x v="81"/>
    <x v="187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x v="50"/>
    <x v="434"/>
    <x v="2"/>
    <x v="36"/>
  </r>
  <r>
    <n v="2655"/>
    <x v="2654"/>
    <s v="Thank you for your support!"/>
    <n v="15000"/>
    <x v="1815"/>
    <x v="1"/>
    <x v="0"/>
    <s v="USD"/>
    <n v="1455048000"/>
    <n v="1452631647"/>
    <b v="0"/>
    <x v="68"/>
    <b v="0"/>
    <s v="technology/space exploration"/>
    <x v="70"/>
    <x v="1875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x v="57"/>
    <x v="187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x v="118"/>
    <x v="1877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x v="50"/>
    <x v="1878"/>
    <x v="2"/>
    <x v="36"/>
  </r>
  <r>
    <n v="2659"/>
    <x v="2658"/>
    <s v="test"/>
    <n v="49000"/>
    <x v="1819"/>
    <x v="1"/>
    <x v="0"/>
    <s v="USD"/>
    <n v="1429321210"/>
    <n v="1426729210"/>
    <b v="0"/>
    <x v="73"/>
    <b v="0"/>
    <s v="technology/space exploration"/>
    <x v="56"/>
    <x v="1879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x v="50"/>
    <x v="1880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x v="33"/>
    <x v="1881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x v="13"/>
    <x v="1882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x v="2"/>
    <x v="1883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x v="33"/>
    <x v="188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x v="4"/>
    <x v="1885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x v="175"/>
    <x v="1886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x v="38"/>
    <x v="1887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x v="193"/>
    <x v="1888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x v="105"/>
    <x v="1889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x v="52"/>
    <x v="1890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x v="57"/>
    <x v="1891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x v="69"/>
    <x v="189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x v="163"/>
    <x v="1894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x v="59"/>
    <x v="1895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x v="119"/>
    <x v="189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x v="82"/>
    <x v="1897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x v="5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x v="50"/>
    <x v="878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x v="80"/>
    <b v="0"/>
    <s v="technology/makerspaces"/>
    <x v="60"/>
    <x v="15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x v="60"/>
    <x v="440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x v="58"/>
    <x v="189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x v="50"/>
    <x v="1028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x v="60"/>
    <x v="438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x v="50"/>
    <x v="119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x v="50"/>
    <x v="121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x v="50"/>
    <x v="121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x v="50"/>
    <x v="1900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x v="50"/>
    <x v="120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x v="57"/>
    <x v="1901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x v="50"/>
    <x v="827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x v="60"/>
    <x v="380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x v="60"/>
    <x v="140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x v="50"/>
    <x v="120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x v="50"/>
    <x v="1902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x v="52"/>
    <x v="1903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x v="73"/>
    <x v="1904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x v="50"/>
    <x v="1905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x v="50"/>
    <x v="121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x v="60"/>
    <x v="827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x v="132"/>
    <x v="78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x v="122"/>
    <x v="1906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x v="3"/>
    <x v="1907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x v="52"/>
    <x v="1908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x v="57"/>
    <x v="1909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x v="20"/>
    <x v="1910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x v="345"/>
    <x v="423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x v="145"/>
    <x v="1911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x v="21"/>
    <x v="1912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x v="224"/>
    <x v="1913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x v="7"/>
    <x v="1914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x v="26"/>
    <x v="1915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x v="21"/>
    <x v="1694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x v="31"/>
    <x v="1916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x v="28"/>
    <x v="1085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x v="28"/>
    <x v="1918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x v="3"/>
    <x v="1919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x v="15"/>
    <x v="1920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x v="90"/>
    <x v="1921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x v="346"/>
    <x v="291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x v="169"/>
    <x v="1922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x v="49"/>
    <x v="1923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x v="347"/>
    <x v="1924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x v="14"/>
    <x v="192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x v="442"/>
    <b v="1"/>
    <s v="technology/hardware"/>
    <x v="6"/>
    <x v="1926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x v="348"/>
    <x v="1927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x v="180"/>
    <x v="1928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x v="3"/>
    <x v="1929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x v="106"/>
    <x v="1810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x v="3"/>
    <x v="1930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x v="90"/>
    <x v="1931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x v="29"/>
    <x v="1932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x v="349"/>
    <x v="1933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x v="350"/>
    <x v="193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x v="4"/>
    <x v="1935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x v="351"/>
    <x v="1936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x v="34"/>
    <x v="1937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x v="352"/>
    <x v="1621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x v="33"/>
    <x v="193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x v="50"/>
    <x v="43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x v="129"/>
    <x v="1939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x v="62"/>
    <x v="1940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x v="66"/>
    <x v="1941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x v="117"/>
    <x v="1281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x v="58"/>
    <x v="431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x v="60"/>
    <x v="508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x v="84"/>
    <b v="0"/>
    <s v="publishing/children's books"/>
    <x v="60"/>
    <x v="687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x v="50"/>
    <x v="121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x v="57"/>
    <x v="1942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x v="118"/>
    <x v="12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x v="50"/>
    <x v="121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x v="221"/>
    <x v="1943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x v="54"/>
    <x v="1944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x v="60"/>
    <x v="144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x v="81"/>
    <x v="492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x v="57"/>
    <x v="1780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x v="50"/>
    <x v="121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x v="60"/>
    <x v="373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x v="60"/>
    <x v="380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x v="50"/>
    <x v="179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x v="60"/>
    <x v="784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x v="50"/>
    <x v="121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x v="53"/>
    <x v="380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x v="51"/>
    <x v="1946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x v="50"/>
    <x v="120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x v="54"/>
    <x v="640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x v="50"/>
    <x v="121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x v="50"/>
    <x v="121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x v="50"/>
    <x v="120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x v="51"/>
    <x v="1947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x v="59"/>
    <x v="1948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x v="50"/>
    <x v="119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x v="73"/>
    <x v="1949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x v="53"/>
    <x v="444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x v="50"/>
    <x v="121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x v="2"/>
    <x v="1192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x v="28"/>
    <x v="583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x v="41"/>
    <x v="1950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x v="17"/>
    <x v="195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x v="2"/>
    <x v="1952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x v="90"/>
    <x v="1953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x v="28"/>
    <x v="9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x v="33"/>
    <x v="587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x v="7"/>
    <x v="1954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x v="2"/>
    <x v="371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x v="33"/>
    <x v="1955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x v="29"/>
    <x v="1223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x v="38"/>
    <x v="195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x v="95"/>
    <x v="380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x v="3"/>
    <x v="1957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x v="33"/>
    <x v="1958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x v="7"/>
    <x v="1959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x v="16"/>
    <x v="1960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x v="18"/>
    <x v="1961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x v="18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x v="21"/>
    <x v="1962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x v="30"/>
    <x v="1963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x v="41"/>
    <x v="7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x v="5"/>
    <x v="196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x v="20"/>
    <x v="196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x v="251"/>
    <b v="1"/>
    <s v="theater/plays"/>
    <x v="9"/>
    <x v="1966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x v="8"/>
    <x v="109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x v="21"/>
    <x v="1967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x v="29"/>
    <x v="1968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x v="8"/>
    <x v="1969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x v="40"/>
    <x v="1922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x v="30"/>
    <x v="1970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x v="29"/>
    <x v="1971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x v="186"/>
    <x v="1972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x v="24"/>
    <x v="197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x v="22"/>
    <x v="197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x v="6"/>
    <x v="197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x v="2"/>
    <x v="1976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x v="104"/>
    <x v="1977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x v="8"/>
    <x v="1343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x v="8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x v="39"/>
    <x v="1978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x v="16"/>
    <x v="693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x v="33"/>
    <x v="1979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x v="29"/>
    <x v="1980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x v="28"/>
    <x v="1981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x v="8"/>
    <x v="1982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x v="13"/>
    <x v="1983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x v="8"/>
    <x v="1984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x v="38"/>
    <x v="19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x v="41"/>
    <x v="1986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x v="2"/>
    <b v="1"/>
    <s v="theater/plays"/>
    <x v="29"/>
    <x v="1987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x v="106"/>
    <x v="1988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x v="229"/>
    <x v="1989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x v="8"/>
    <x v="785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x v="28"/>
    <x v="1991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x v="38"/>
    <x v="1992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x v="3"/>
    <x v="1993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x v="60"/>
    <x v="119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x v="50"/>
    <x v="121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x v="50"/>
    <x v="121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x v="62"/>
    <x v="179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x v="50"/>
    <x v="121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x v="50"/>
    <x v="121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x v="50"/>
    <x v="457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x v="60"/>
    <x v="144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x v="65"/>
    <x v="1995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x v="50"/>
    <x v="121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x v="53"/>
    <x v="1996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x v="50"/>
    <x v="121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x v="72"/>
    <x v="1997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x v="119"/>
    <x v="88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x v="62"/>
    <x v="821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x v="68"/>
    <x v="13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x v="50"/>
    <x v="121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x v="53"/>
    <x v="431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x v="113"/>
    <x v="1998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x v="188"/>
    <x v="1999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x v="50"/>
    <x v="1714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x v="50"/>
    <x v="135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x v="83"/>
    <b v="0"/>
    <s v="theater/plays"/>
    <x v="53"/>
    <x v="140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x v="50"/>
    <x v="121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x v="60"/>
    <x v="377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x v="72"/>
    <x v="2001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x v="60"/>
    <x v="1238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x v="77"/>
    <x v="160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x v="62"/>
    <x v="158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x v="50"/>
    <x v="121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x v="151"/>
    <x v="2002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x v="62"/>
    <x v="200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x v="50"/>
    <x v="1029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x v="50"/>
    <x v="121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x v="57"/>
    <x v="149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x v="53"/>
    <x v="2004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x v="50"/>
    <x v="2005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x v="50"/>
    <x v="121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x v="122"/>
    <x v="2007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x v="118"/>
    <x v="2008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x v="50"/>
    <x v="2009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x v="69"/>
    <x v="433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x v="50"/>
    <x v="14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x v="50"/>
    <x v="121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x v="151"/>
    <x v="2010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x v="60"/>
    <x v="582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x v="56"/>
    <x v="1594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x v="114"/>
    <x v="201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x v="84"/>
    <b v="0"/>
    <s v="theater/plays"/>
    <x v="60"/>
    <x v="381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x v="78"/>
    <b v="0"/>
    <s v="theater/plays"/>
    <x v="50"/>
    <x v="121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x v="62"/>
    <x v="2012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x v="70"/>
    <x v="2013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x v="62"/>
    <x v="2014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x v="65"/>
    <x v="2015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x v="50"/>
    <x v="121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x v="353"/>
    <x v="2016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x v="60"/>
    <x v="362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x v="50"/>
    <x v="380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x v="60"/>
    <x v="2017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x v="62"/>
    <x v="644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x v="82"/>
    <x v="2018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x v="114"/>
    <x v="2019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x v="56"/>
    <x v="1775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x v="50"/>
    <x v="135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x v="50"/>
    <x v="120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x v="121"/>
    <x v="2020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x v="51"/>
    <x v="2021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x v="50"/>
    <x v="120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x v="50"/>
    <x v="120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x v="220"/>
    <x v="2022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x v="59"/>
    <x v="2023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x v="66"/>
    <x v="2024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x v="117"/>
    <x v="353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x v="114"/>
    <x v="434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x v="117"/>
    <x v="2025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x v="32"/>
    <x v="1340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x v="8"/>
    <x v="160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x v="8"/>
    <x v="179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x v="33"/>
    <x v="2026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x v="21"/>
    <x v="2027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x v="105"/>
    <x v="753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x v="26"/>
    <x v="2028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x v="8"/>
    <x v="683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x v="21"/>
    <x v="2029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x v="7"/>
    <x v="2030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x v="6"/>
    <x v="596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x v="2"/>
    <x v="2031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x v="33"/>
    <x v="2032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x v="29"/>
    <x v="2033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x v="7"/>
    <x v="203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x v="30"/>
    <x v="1753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x v="18"/>
    <x v="2035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x v="7"/>
    <x v="2036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x v="33"/>
    <x v="2037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x v="13"/>
    <x v="129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x v="50"/>
    <x v="120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x v="68"/>
    <x v="2038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x v="50"/>
    <x v="121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x v="60"/>
    <x v="101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x v="50"/>
    <x v="121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x v="50"/>
    <x v="120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x v="65"/>
    <x v="2039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x v="50"/>
    <x v="2040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x v="56"/>
    <x v="381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x v="50"/>
    <x v="121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x v="53"/>
    <x v="2041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x v="59"/>
    <x v="2042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x v="50"/>
    <x v="2043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x v="50"/>
    <x v="121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x v="64"/>
    <x v="177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x v="123"/>
    <x v="204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x v="53"/>
    <x v="72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x v="50"/>
    <x v="121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x v="50"/>
    <x v="121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x v="50"/>
    <x v="121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x v="5"/>
    <x v="204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x v="108"/>
    <x v="546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x v="13"/>
    <x v="2046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x v="7"/>
    <x v="2047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x v="15"/>
    <x v="2048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x v="35"/>
    <x v="2049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x v="35"/>
    <x v="2050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x v="6"/>
    <x v="2051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x v="200"/>
    <x v="2052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x v="6"/>
    <x v="2053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x v="8"/>
    <x v="2054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x v="2"/>
    <x v="2055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x v="215"/>
    <x v="2056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x v="8"/>
    <x v="2057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x v="193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x v="35"/>
    <x v="78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x v="32"/>
    <x v="205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x v="7"/>
    <x v="2060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x v="15"/>
    <x v="709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x v="32"/>
    <x v="1290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x v="21"/>
    <x v="11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x v="92"/>
    <x v="2061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x v="8"/>
    <x v="2062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x v="108"/>
    <x v="2063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x v="6"/>
    <x v="2064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x v="5"/>
    <x v="206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x v="8"/>
    <x v="669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x v="487"/>
    <b v="1"/>
    <s v="theater/spaces"/>
    <x v="93"/>
    <x v="2066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x v="8"/>
    <x v="206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x v="33"/>
    <x v="2068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x v="2"/>
    <x v="2069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x v="19"/>
    <b v="1"/>
    <s v="theater/spaces"/>
    <x v="8"/>
    <x v="1187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x v="354"/>
    <x v="2070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x v="2"/>
    <x v="2071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x v="174"/>
    <x v="2072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x v="3"/>
    <x v="2073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x v="33"/>
    <x v="2074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x v="17"/>
    <x v="207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x v="8"/>
    <x v="368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x v="355"/>
    <x v="2076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x v="15"/>
    <x v="2077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x v="7"/>
    <x v="2078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x v="40"/>
    <x v="2079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x v="28"/>
    <x v="2080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x v="29"/>
    <x v="2081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x v="144"/>
    <x v="1205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x v="7"/>
    <x v="2082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x v="28"/>
    <x v="2083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x v="137"/>
    <x v="2084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x v="39"/>
    <x v="2085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x v="16"/>
    <x v="2086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x v="96"/>
    <x v="2087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x v="40"/>
    <x v="2088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x v="33"/>
    <x v="2089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x v="33"/>
    <x v="2090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x v="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x v="7"/>
    <x v="2092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x v="10"/>
    <x v="2093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x v="7"/>
    <x v="2094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x v="31"/>
    <x v="901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x v="7"/>
    <x v="2095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x v="33"/>
    <x v="2096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x v="351"/>
    <x v="209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x v="120"/>
    <x v="2098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x v="1"/>
    <x v="1769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x v="26"/>
    <x v="2099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x v="239"/>
    <x v="2100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x v="5"/>
    <x v="2101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x v="8"/>
    <x v="246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x v="37"/>
    <x v="1302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x v="40"/>
    <x v="2104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x v="15"/>
    <x v="2105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x v="182"/>
    <x v="2107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x v="7"/>
    <x v="2108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x v="15"/>
    <x v="2109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x v="29"/>
    <x v="2110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x v="5"/>
    <x v="2111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x v="30"/>
    <x v="2112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x v="5"/>
    <x v="2113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x v="15"/>
    <x v="2114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x v="18"/>
    <x v="2115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x v="87"/>
    <x v="2116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x v="328"/>
    <x v="2117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x v="183"/>
    <x v="2118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x v="13"/>
    <x v="17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x v="6"/>
    <x v="2119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x v="148"/>
    <x v="2120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x v="50"/>
    <x v="822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x v="5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x v="50"/>
    <x v="121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x v="50"/>
    <x v="120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x v="50"/>
    <x v="121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x v="50"/>
    <x v="121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x v="50"/>
    <x v="120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x v="56"/>
    <x v="212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x v="50"/>
    <x v="1727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x v="78"/>
    <b v="0"/>
    <s v="theater/spaces"/>
    <x v="50"/>
    <x v="121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x v="356"/>
    <x v="2122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x v="68"/>
    <x v="2123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x v="57"/>
    <x v="2124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x v="50"/>
    <x v="144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x v="81"/>
    <x v="2125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x v="56"/>
    <x v="438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x v="5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x v="51"/>
    <x v="2127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x v="56"/>
    <x v="212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x v="64"/>
    <x v="2129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x v="50"/>
    <x v="120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x v="50"/>
    <x v="2131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x v="114"/>
    <x v="2132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x v="77"/>
    <x v="2133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x v="50"/>
    <x v="1780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x v="50"/>
    <x v="1902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x v="60"/>
    <x v="2134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x v="50"/>
    <x v="2135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x v="50"/>
    <x v="213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x v="5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x v="50"/>
    <x v="791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x v="81"/>
    <x v="2137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x v="53"/>
    <x v="213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x v="5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x v="60"/>
    <x v="368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x v="50"/>
    <x v="823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x v="61"/>
    <x v="213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x v="62"/>
    <x v="2140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x v="63"/>
    <x v="1803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x v="60"/>
    <x v="239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x v="61"/>
    <x v="2141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x v="50"/>
    <x v="380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x v="50"/>
    <x v="73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x v="65"/>
    <x v="2142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x v="123"/>
    <x v="214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x v="65"/>
    <x v="2144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x v="51"/>
    <x v="2145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x v="81"/>
    <x v="380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x v="115"/>
    <x v="2147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x v="50"/>
    <x v="148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x v="75"/>
    <x v="2148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x v="72"/>
    <x v="2149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x v="65"/>
    <x v="2150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x v="68"/>
    <x v="2151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x v="84"/>
    <b v="0"/>
    <s v="theater/spaces"/>
    <x v="50"/>
    <x v="31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x v="78"/>
    <x v="65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x v="50"/>
    <x v="119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x v="117"/>
    <x v="2152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x v="62"/>
    <x v="2153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x v="65"/>
    <x v="2154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x v="50"/>
    <x v="121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x v="56"/>
    <x v="462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x v="219"/>
    <x v="1340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x v="50"/>
    <x v="120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x v="50"/>
    <x v="215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x v="50"/>
    <x v="144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x v="50"/>
    <x v="2156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x v="60"/>
    <x v="119"/>
    <x v="1"/>
    <x v="38"/>
  </r>
  <r>
    <n v="3122"/>
    <x v="3121"/>
    <s v="cancelled until further notice"/>
    <n v="199"/>
    <x v="851"/>
    <x v="1"/>
    <x v="0"/>
    <s v="USD"/>
    <n v="1478733732"/>
    <n v="1478298132"/>
    <b v="0"/>
    <x v="84"/>
    <b v="0"/>
    <s v="theater/spaces"/>
    <x v="74"/>
    <x v="2157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x v="149"/>
    <x v="215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x v="50"/>
    <x v="516"/>
    <x v="1"/>
    <x v="38"/>
  </r>
  <r>
    <n v="3125"/>
    <x v="3124"/>
    <s v="N/A"/>
    <n v="1500000"/>
    <x v="117"/>
    <x v="1"/>
    <x v="0"/>
    <s v="USD"/>
    <n v="1452142672"/>
    <n v="1449550672"/>
    <b v="0"/>
    <x v="78"/>
    <b v="0"/>
    <s v="theater/spaces"/>
    <x v="50"/>
    <x v="121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x v="50"/>
    <x v="121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x v="15"/>
    <x v="2160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x v="60"/>
    <x v="119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x v="65"/>
    <x v="2161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x v="63"/>
    <x v="399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x v="50"/>
    <x v="119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x v="29"/>
    <x v="1178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x v="61"/>
    <x v="644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x v="70"/>
    <x v="2162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x v="30"/>
    <x v="2163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x v="56"/>
    <x v="73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x v="50"/>
    <x v="121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x v="62"/>
    <x v="2164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x v="60"/>
    <x v="1196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x v="221"/>
    <x v="216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x v="53"/>
    <x v="2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x v="50"/>
    <x v="121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x v="150"/>
    <x v="2166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x v="50"/>
    <x v="121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x v="57"/>
    <x v="2167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x v="90"/>
    <x v="2168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x v="26"/>
    <x v="2169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x v="7"/>
    <x v="2170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x v="8"/>
    <x v="2171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x v="6"/>
    <x v="2172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x v="357"/>
    <x v="2173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x v="40"/>
    <x v="2174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x v="192"/>
    <x v="1259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x v="21"/>
    <x v="2175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x v="7"/>
    <x v="2176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x v="35"/>
    <x v="2177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x v="18"/>
    <x v="1038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x v="2"/>
    <x v="2178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x v="37"/>
    <x v="140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x v="38"/>
    <x v="217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x v="13"/>
    <x v="2180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x v="200"/>
    <x v="218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x v="12"/>
    <x v="2182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x v="31"/>
    <x v="2183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x v="39"/>
    <x v="2184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x v="33"/>
    <x v="96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x v="15"/>
    <x v="1250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x v="41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x v="3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x v="7"/>
    <x v="2187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x v="5"/>
    <x v="1867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x v="41"/>
    <x v="2188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x v="16"/>
    <x v="2189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x v="174"/>
    <x v="2190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x v="35"/>
    <x v="2191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x v="28"/>
    <x v="2192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x v="15"/>
    <x v="811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x v="7"/>
    <x v="2193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x v="15"/>
    <x v="1583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x v="13"/>
    <x v="2194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x v="8"/>
    <x v="683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x v="21"/>
    <x v="2195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x v="31"/>
    <x v="2196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x v="187"/>
    <x v="2197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x v="81"/>
    <x v="2198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x v="50"/>
    <x v="121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x v="65"/>
    <x v="2199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x v="60"/>
    <x v="786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x v="81"/>
    <x v="2200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x v="50"/>
    <x v="121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x v="155"/>
    <x v="1656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x v="50"/>
    <x v="462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x v="57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x v="50"/>
    <x v="2202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x v="221"/>
    <x v="2203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x v="5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x v="60"/>
    <x v="381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x v="358"/>
    <x v="183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x v="78"/>
    <x v="683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x v="50"/>
    <x v="121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x v="56"/>
    <x v="1878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x v="50"/>
    <x v="121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x v="132"/>
    <x v="2204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x v="3"/>
    <x v="2205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x v="17"/>
    <x v="220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x v="9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x v="28"/>
    <x v="2208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x v="9"/>
    <x v="2209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x v="8"/>
    <x v="2210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x v="21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x v="8"/>
    <x v="2212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x v="8"/>
    <x v="2213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x v="31"/>
    <x v="2214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x v="21"/>
    <x v="2215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x v="8"/>
    <x v="2216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x v="7"/>
    <x v="221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x v="33"/>
    <x v="247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x v="105"/>
    <x v="2218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x v="5"/>
    <x v="1145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x v="21"/>
    <x v="2219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x v="21"/>
    <x v="2220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x v="3"/>
    <x v="2221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x v="105"/>
    <x v="73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x v="77"/>
    <b v="1"/>
    <s v="theater/plays"/>
    <x v="21"/>
    <x v="222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x v="29"/>
    <x v="1345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x v="5"/>
    <x v="2223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x v="164"/>
    <x v="400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x v="26"/>
    <x v="2224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x v="17"/>
    <x v="2225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x v="8"/>
    <x v="2226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x v="33"/>
    <x v="2208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x v="7"/>
    <x v="2227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x v="7"/>
    <x v="2228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x v="20"/>
    <x v="1953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x v="6"/>
    <x v="2229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x v="41"/>
    <x v="2231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x v="37"/>
    <x v="162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x v="33"/>
    <x v="2232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x v="33"/>
    <x v="2233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x v="3"/>
    <x v="2234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x v="38"/>
    <x v="1917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x v="6"/>
    <x v="2235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x v="7"/>
    <x v="2236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x v="2"/>
    <x v="2237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x v="21"/>
    <x v="2238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x v="38"/>
    <x v="2239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x v="30"/>
    <x v="1506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x v="21"/>
    <x v="2240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x v="7"/>
    <x v="2241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x v="215"/>
    <x v="2242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x v="30"/>
    <x v="1901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x v="6"/>
    <x v="1169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x v="2"/>
    <x v="2243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x v="6"/>
    <x v="224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x v="15"/>
    <x v="2245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x v="8"/>
    <x v="224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x v="33"/>
    <x v="2247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x v="20"/>
    <x v="2248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x v="33"/>
    <x v="2249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x v="344"/>
    <x v="2250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x v="26"/>
    <x v="1042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x v="21"/>
    <x v="2251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x v="30"/>
    <x v="2252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x v="21"/>
    <x v="2253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x v="21"/>
    <x v="2254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x v="13"/>
    <b v="1"/>
    <s v="theater/plays"/>
    <x v="22"/>
    <x v="2255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x v="224"/>
    <x v="2256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x v="13"/>
    <x v="22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x v="7"/>
    <x v="2258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x v="8"/>
    <x v="225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x v="16"/>
    <x v="2260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x v="15"/>
    <x v="2261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x v="35"/>
    <x v="2263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x v="33"/>
    <x v="2264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x v="108"/>
    <x v="2265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x v="33"/>
    <x v="226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x v="2"/>
    <x v="2267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x v="21"/>
    <x v="2268"/>
    <x v="1"/>
    <x v="6"/>
  </r>
  <r>
    <n v="3285"/>
    <x v="3284"/>
    <s v="A new play by Matthew Gasda"/>
    <n v="4999"/>
    <x v="2173"/>
    <x v="0"/>
    <x v="0"/>
    <s v="USD"/>
    <n v="1488258000"/>
    <n v="1485556626"/>
    <b v="0"/>
    <x v="75"/>
    <b v="1"/>
    <s v="theater/plays"/>
    <x v="20"/>
    <x v="226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x v="21"/>
    <x v="2270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x v="8"/>
    <x v="2271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x v="8"/>
    <x v="2272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x v="18"/>
    <x v="2273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x v="10"/>
    <x v="2274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x v="35"/>
    <x v="2275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x v="359"/>
    <x v="2276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x v="106"/>
    <x v="518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x v="90"/>
    <x v="2277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x v="33"/>
    <x v="1999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x v="124"/>
    <x v="227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x v="8"/>
    <x v="227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x v="21"/>
    <x v="2280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x v="31"/>
    <x v="2281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x v="104"/>
    <x v="228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x v="18"/>
    <x v="699"/>
    <x v="1"/>
    <x v="6"/>
  </r>
  <r>
    <n v="3302"/>
    <x v="3301"/>
    <s v="FilosofÃ­a de los anÃ³nimos"/>
    <n v="8400"/>
    <x v="2186"/>
    <x v="0"/>
    <x v="3"/>
    <s v="EUR"/>
    <n v="1481099176"/>
    <n v="1478507176"/>
    <b v="0"/>
    <x v="133"/>
    <b v="1"/>
    <s v="theater/plays"/>
    <x v="33"/>
    <x v="2283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x v="31"/>
    <x v="2284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x v="2"/>
    <x v="2285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x v="215"/>
    <x v="228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x v="13"/>
    <x v="2288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x v="108"/>
    <x v="228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x v="175"/>
    <x v="656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x v="8"/>
    <x v="2290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x v="5"/>
    <x v="2291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x v="8"/>
    <x v="2254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x v="31"/>
    <x v="2292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x v="185"/>
    <x v="2293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x v="5"/>
    <x v="229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x v="8"/>
    <x v="2295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x v="6"/>
    <x v="2296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x v="9"/>
    <x v="2297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x v="29"/>
    <x v="1178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x v="7"/>
    <x v="2298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x v="13"/>
    <x v="1245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x v="21"/>
    <x v="2299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x v="9"/>
    <x v="2047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x v="21"/>
    <x v="2300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x v="40"/>
    <x v="179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x v="7"/>
    <x v="2301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x v="91"/>
    <x v="2303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x v="16"/>
    <x v="2304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x v="6"/>
    <x v="2305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x v="2"/>
    <x v="23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x v="8"/>
    <x v="2307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x v="2"/>
    <x v="2308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x v="86"/>
    <x v="2309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x v="8"/>
    <x v="2310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x v="8"/>
    <x v="1770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x v="5"/>
    <x v="2311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x v="21"/>
    <x v="2312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x v="3"/>
    <x v="2313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x v="178"/>
    <x v="2314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x v="8"/>
    <x v="2315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x v="21"/>
    <x v="2316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x v="193"/>
    <x v="935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x v="7"/>
    <x v="2317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x v="22"/>
    <x v="7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x v="5"/>
    <x v="2318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x v="17"/>
    <x v="231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x v="8"/>
    <x v="2320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x v="3"/>
    <x v="395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x v="7"/>
    <x v="2322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x v="29"/>
    <x v="2323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x v="136"/>
    <x v="1245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x v="21"/>
    <x v="2145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x v="9"/>
    <x v="2324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x v="7"/>
    <x v="2325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x v="7"/>
    <x v="2326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x v="33"/>
    <x v="1555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x v="6"/>
    <x v="2327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x v="7"/>
    <x v="2036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x v="40"/>
    <x v="1417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x v="147"/>
    <x v="2328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x v="7"/>
    <x v="2329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x v="6"/>
    <x v="2330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x v="3"/>
    <x v="2331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x v="360"/>
    <x v="2332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x v="17"/>
    <x v="2333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x v="2"/>
    <x v="2334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x v="3"/>
    <x v="2335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x v="90"/>
    <x v="2336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x v="86"/>
    <x v="2337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x v="3"/>
    <x v="134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x v="8"/>
    <x v="1509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x v="13"/>
    <x v="2338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x v="8"/>
    <x v="2339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x v="8"/>
    <x v="2340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x v="7"/>
    <x v="1708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x v="29"/>
    <x v="2341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x v="3"/>
    <x v="2342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x v="3"/>
    <x v="2343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x v="21"/>
    <x v="2344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x v="7"/>
    <x v="2345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x v="20"/>
    <x v="2346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x v="8"/>
    <x v="2347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x v="8"/>
    <x v="44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x v="2"/>
    <x v="39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x v="16"/>
    <x v="2348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x v="3"/>
    <x v="1154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x v="41"/>
    <x v="2349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x v="21"/>
    <x v="2320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x v="316"/>
    <x v="2296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x v="8"/>
    <x v="683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x v="6"/>
    <x v="2350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x v="24"/>
    <x v="2005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x v="361"/>
    <x v="235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x v="3"/>
    <x v="2352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x v="20"/>
    <x v="123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x v="38"/>
    <x v="555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x v="3"/>
    <x v="2353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x v="5"/>
    <x v="2356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x v="8"/>
    <x v="2124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x v="108"/>
    <x v="2357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x v="178"/>
    <x v="2358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x v="8"/>
    <x v="2359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x v="13"/>
    <x v="2360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x v="185"/>
    <x v="23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x v="39"/>
    <x v="2362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x v="15"/>
    <x v="2363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x v="3"/>
    <x v="2364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x v="8"/>
    <x v="2365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x v="22"/>
    <x v="2235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x v="3"/>
    <x v="2366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x v="8"/>
    <x v="2367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x v="28"/>
    <x v="2368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x v="8"/>
    <x v="841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x v="7"/>
    <x v="2369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x v="13"/>
    <x v="2370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x v="178"/>
    <x v="2178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x v="7"/>
    <x v="237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x v="15"/>
    <x v="2372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x v="49"/>
    <x v="431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x v="3"/>
    <x v="2373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x v="33"/>
    <x v="2374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x v="29"/>
    <x v="2375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x v="8"/>
    <x v="246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x v="33"/>
    <x v="2376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x v="22"/>
    <x v="1783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x v="15"/>
    <x v="2377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x v="8"/>
    <x v="2378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x v="5"/>
    <x v="2379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x v="8"/>
    <x v="2380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x v="6"/>
    <x v="2381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x v="20"/>
    <x v="2382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x v="6"/>
    <x v="2383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x v="7"/>
    <x v="2384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x v="3"/>
    <x v="2385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x v="165"/>
    <x v="2386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x v="2"/>
    <x v="1085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x v="33"/>
    <x v="2387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x v="8"/>
    <x v="672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x v="362"/>
    <x v="2388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x v="363"/>
    <x v="2389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x v="8"/>
    <x v="2390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x v="29"/>
    <x v="2391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x v="29"/>
    <x v="2392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x v="5"/>
    <x v="39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x v="193"/>
    <x v="1922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x v="143"/>
    <x v="2393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x v="7"/>
    <x v="2394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x v="42"/>
    <x v="2395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x v="30"/>
    <x v="440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x v="7"/>
    <x v="239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x v="87"/>
    <x v="2398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x v="49"/>
    <x v="2399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x v="39"/>
    <x v="2400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x v="9"/>
    <x v="2401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x v="364"/>
    <x v="73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x v="86"/>
    <x v="240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x v="180"/>
    <x v="2403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x v="33"/>
    <x v="2404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x v="21"/>
    <x v="2405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x v="33"/>
    <x v="2406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x v="37"/>
    <x v="2407"/>
    <x v="1"/>
    <x v="6"/>
  </r>
  <r>
    <n v="3467"/>
    <x v="3465"/>
    <s v="Venus in Fur, By David Ives."/>
    <n v="3000"/>
    <x v="168"/>
    <x v="0"/>
    <x v="0"/>
    <s v="USD"/>
    <n v="1426864032"/>
    <n v="1424275632"/>
    <b v="0"/>
    <x v="5"/>
    <b v="1"/>
    <s v="theater/plays"/>
    <x v="7"/>
    <x v="890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x v="108"/>
    <x v="2408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x v="40"/>
    <x v="2000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x v="95"/>
    <x v="683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x v="205"/>
    <x v="1299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x v="21"/>
    <x v="2230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x v="8"/>
    <x v="240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x v="7"/>
    <x v="2410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x v="40"/>
    <x v="135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x v="3"/>
    <x v="364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x v="41"/>
    <x v="2411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x v="40"/>
    <x v="2412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x v="30"/>
    <x v="2413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x v="1"/>
    <x v="2414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x v="17"/>
    <x v="241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x v="178"/>
    <x v="366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x v="12"/>
    <x v="2376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x v="7"/>
    <x v="2281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x v="19"/>
    <x v="2417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x v="30"/>
    <x v="2418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x v="10"/>
    <x v="2419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x v="40"/>
    <x v="91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x v="30"/>
    <x v="1604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x v="137"/>
    <x v="2420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x v="2"/>
    <x v="2421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x v="8"/>
    <x v="246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x v="8"/>
    <x v="2422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x v="13"/>
    <x v="797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x v="39"/>
    <x v="2423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x v="15"/>
    <x v="2424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x v="21"/>
    <x v="2425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x v="6"/>
    <x v="2426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x v="6"/>
    <x v="2427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x v="7"/>
    <x v="2428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x v="2"/>
    <x v="2429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x v="29"/>
    <x v="2430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x v="8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x v="3"/>
    <x v="2431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x v="21"/>
    <x v="2432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x v="3"/>
    <x v="1716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x v="144"/>
    <x v="1028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x v="6"/>
    <x v="2433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x v="7"/>
    <x v="2434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x v="7"/>
    <x v="2435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x v="8"/>
    <x v="2436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x v="90"/>
    <x v="2437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x v="5"/>
    <x v="687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x v="33"/>
    <x v="2438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x v="8"/>
    <x v="2439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x v="8"/>
    <x v="2440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x v="5"/>
    <x v="2441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x v="7"/>
    <x v="2442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x v="7"/>
    <x v="2443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x v="312"/>
    <x v="1300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x v="8"/>
    <x v="2444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x v="35"/>
    <x v="2445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x v="21"/>
    <x v="2446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x v="6"/>
    <x v="2447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x v="21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x v="16"/>
    <x v="2010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x v="7"/>
    <x v="2449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x v="88"/>
    <x v="2202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x v="8"/>
    <x v="178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x v="55"/>
    <b v="1"/>
    <s v="theater/plays"/>
    <x v="30"/>
    <x v="2450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x v="17"/>
    <x v="2451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x v="9"/>
    <x v="2452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x v="94"/>
    <x v="2453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x v="33"/>
    <x v="1428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x v="42"/>
    <x v="2454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x v="144"/>
    <x v="14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x v="30"/>
    <x v="245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x v="28"/>
    <x v="2456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x v="4"/>
    <x v="88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x v="2"/>
    <x v="104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x v="21"/>
    <x v="2457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x v="2"/>
    <x v="2458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x v="8"/>
    <x v="2459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x v="8"/>
    <x v="90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x v="21"/>
    <x v="2460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x v="35"/>
    <x v="2461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x v="21"/>
    <x v="2414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x v="21"/>
    <x v="2462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x v="2"/>
    <x v="2463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x v="21"/>
    <x v="1756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x v="8"/>
    <x v="2464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x v="6"/>
    <x v="138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x v="40"/>
    <x v="2465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x v="8"/>
    <x v="1199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x v="8"/>
    <x v="2466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x v="8"/>
    <x v="2467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x v="124"/>
    <x v="2468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x v="3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x v="328"/>
    <x v="2472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x v="2"/>
    <x v="2473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x v="7"/>
    <x v="2474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x v="2"/>
    <x v="2476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x v="15"/>
    <x v="2477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x v="38"/>
    <x v="700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x v="8"/>
    <x v="2478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x v="35"/>
    <x v="133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x v="108"/>
    <x v="2479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x v="8"/>
    <x v="2480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x v="33"/>
    <x v="2481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x v="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x v="7"/>
    <x v="2483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x v="8"/>
    <x v="135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x v="22"/>
    <x v="673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x v="8"/>
    <x v="1318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x v="8"/>
    <x v="669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x v="35"/>
    <x v="2484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x v="8"/>
    <x v="836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x v="315"/>
    <x v="2485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x v="31"/>
    <x v="2486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x v="17"/>
    <x v="2487"/>
    <x v="1"/>
    <x v="6"/>
  </r>
  <r>
    <n v="3586"/>
    <x v="3584"/>
    <s v="See Theatre In A New Light"/>
    <n v="7500"/>
    <x v="2369"/>
    <x v="0"/>
    <x v="0"/>
    <s v="USD"/>
    <n v="1474649070"/>
    <n v="1469465070"/>
    <b v="0"/>
    <x v="241"/>
    <b v="1"/>
    <s v="theater/plays"/>
    <x v="15"/>
    <x v="2488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x v="37"/>
    <x v="2489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x v="7"/>
    <x v="2490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x v="30"/>
    <x v="2491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x v="8"/>
    <x v="2492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x v="215"/>
    <x v="2493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x v="37"/>
    <x v="24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x v="38"/>
    <x v="2495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x v="9"/>
    <x v="2496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x v="17"/>
    <x v="2497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x v="29"/>
    <x v="2498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x v="33"/>
    <x v="2499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x v="5"/>
    <x v="99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x v="180"/>
    <x v="1225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x v="22"/>
    <x v="2500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x v="3"/>
    <x v="104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x v="8"/>
    <x v="2501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x v="193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x v="40"/>
    <x v="2502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x v="361"/>
    <x v="7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x v="22"/>
    <x v="2503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x v="2"/>
    <x v="2005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x v="8"/>
    <x v="1354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x v="42"/>
    <x v="2504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x v="184"/>
    <x v="250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x v="104"/>
    <x v="583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x v="124"/>
    <x v="2506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x v="8"/>
    <x v="368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x v="7"/>
    <x v="2507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x v="13"/>
    <x v="25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x v="105"/>
    <x v="2509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x v="17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x v="7"/>
    <x v="2350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x v="40"/>
    <x v="113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x v="2"/>
    <x v="2510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x v="5"/>
    <x v="2511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x v="8"/>
    <x v="635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x v="2"/>
    <x v="251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x v="33"/>
    <x v="1765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x v="21"/>
    <x v="2513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x v="8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x v="50"/>
    <x v="121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x v="50"/>
    <x v="120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x v="50"/>
    <x v="120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x v="76"/>
    <x v="2515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x v="68"/>
    <x v="101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x v="131"/>
    <x v="2516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x v="65"/>
    <x v="2517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x v="71"/>
    <x v="2518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x v="50"/>
    <x v="121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x v="134"/>
    <x v="2519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x v="113"/>
    <x v="1694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x v="50"/>
    <x v="120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x v="52"/>
    <x v="1714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x v="50"/>
    <x v="121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x v="53"/>
    <x v="501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x v="50"/>
    <x v="121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x v="63"/>
    <x v="2520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x v="50"/>
    <x v="120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x v="62"/>
    <x v="2521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x v="52"/>
    <x v="2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x v="8"/>
    <x v="2522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x v="3"/>
    <x v="1158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x v="8"/>
    <x v="201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x v="3"/>
    <x v="1337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x v="365"/>
    <x v="2523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x v="107"/>
    <x v="2525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x v="31"/>
    <x v="2526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x v="6"/>
    <x v="2527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x v="38"/>
    <x v="2528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x v="7"/>
    <x v="1700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x v="21"/>
    <x v="2529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x v="38"/>
    <x v="2531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x v="7"/>
    <x v="2532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x v="3"/>
    <x v="433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x v="15"/>
    <x v="2533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x v="41"/>
    <x v="2534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x v="44"/>
    <b v="1"/>
    <s v="theater/plays"/>
    <x v="8"/>
    <x v="2535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x v="33"/>
    <x v="25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x v="3"/>
    <x v="2537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x v="178"/>
    <x v="2538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x v="5"/>
    <x v="2539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x v="7"/>
    <x v="2540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x v="21"/>
    <x v="2541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x v="35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x v="8"/>
    <x v="2543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x v="49"/>
    <x v="457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x v="32"/>
    <x v="2544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x v="33"/>
    <x v="254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x v="33"/>
    <x v="2546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x v="5"/>
    <x v="2547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x v="20"/>
    <x v="1025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x v="86"/>
    <x v="69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x v="38"/>
    <x v="254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x v="86"/>
    <x v="2550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x v="6"/>
    <x v="17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x v="8"/>
    <x v="2552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x v="15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x v="90"/>
    <x v="2553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x v="28"/>
    <x v="2554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x v="30"/>
    <x v="2555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x v="9"/>
    <x v="2556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x v="32"/>
    <x v="2557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x v="13"/>
    <x v="2558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x v="8"/>
    <x v="2559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x v="19"/>
    <x v="2560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x v="29"/>
    <x v="2561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x v="38"/>
    <x v="2562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x v="7"/>
    <x v="2007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x v="10"/>
    <x v="227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x v="15"/>
    <x v="2564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x v="4"/>
    <x v="2565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x v="104"/>
    <x v="2566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x v="33"/>
    <x v="1829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x v="10"/>
    <x v="2567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x v="362"/>
    <x v="2568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x v="126"/>
    <x v="2569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x v="29"/>
    <x v="2570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x v="48"/>
    <x v="2571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x v="35"/>
    <x v="2572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x v="224"/>
    <x v="734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x v="21"/>
    <x v="2573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x v="21"/>
    <x v="2574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x v="33"/>
    <x v="2575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x v="94"/>
    <x v="843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x v="7"/>
    <x v="2576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x v="366"/>
    <x v="2577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x v="367"/>
    <x v="2432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x v="2"/>
    <x v="2578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x v="38"/>
    <x v="2580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x v="21"/>
    <x v="2581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x v="33"/>
    <x v="2582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x v="37"/>
    <x v="2583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x v="368"/>
    <x v="2584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x v="7"/>
    <x v="2503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x v="114"/>
    <x v="2585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x v="113"/>
    <x v="258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x v="54"/>
    <x v="101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x v="57"/>
    <x v="123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x v="77"/>
    <x v="163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x v="50"/>
    <x v="121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x v="58"/>
    <x v="2254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x v="55"/>
    <x v="119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x v="60"/>
    <x v="119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x v="70"/>
    <x v="822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x v="82"/>
    <x v="817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x v="68"/>
    <x v="2587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x v="82"/>
    <x v="2588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x v="50"/>
    <x v="121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x v="53"/>
    <x v="380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x v="50"/>
    <x v="121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x v="50"/>
    <x v="121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x v="54"/>
    <x v="119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x v="29"/>
    <b v="0"/>
    <s v="theater/plays"/>
    <x v="53"/>
    <x v="2589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x v="60"/>
    <x v="380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x v="3"/>
    <x v="2590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x v="8"/>
    <x v="2591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x v="40"/>
    <x v="789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x v="33"/>
    <x v="259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x v="28"/>
    <x v="2594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x v="22"/>
    <x v="2595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x v="7"/>
    <x v="2596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x v="15"/>
    <x v="2597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x v="21"/>
    <x v="125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x v="5"/>
    <x v="2598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x v="7"/>
    <x v="2599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x v="8"/>
    <x v="2600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x v="6"/>
    <x v="2601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x v="8"/>
    <x v="2602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x v="8"/>
    <x v="2480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x v="40"/>
    <x v="2603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x v="33"/>
    <x v="2604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x v="16"/>
    <x v="645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x v="29"/>
    <x v="260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x v="8"/>
    <x v="2606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x v="8"/>
    <x v="101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x v="91"/>
    <x v="2607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x v="5"/>
    <x v="2608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x v="29"/>
    <x v="2609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x v="8"/>
    <x v="101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x v="13"/>
    <x v="2610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x v="1"/>
    <x v="1129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x v="2"/>
    <x v="2611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x v="3"/>
    <x v="938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x v="28"/>
    <x v="101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x v="5"/>
    <x v="2612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x v="21"/>
    <x v="2613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x v="32"/>
    <x v="261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x v="41"/>
    <x v="26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x v="298"/>
    <x v="96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x v="38"/>
    <x v="2616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x v="8"/>
    <x v="2617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x v="60"/>
    <x v="13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x v="56"/>
    <x v="2005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x v="50"/>
    <x v="121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x v="50"/>
    <x v="121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x v="50"/>
    <x v="827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x v="64"/>
    <x v="2618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x v="60"/>
    <x v="73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x v="53"/>
    <x v="144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x v="50"/>
    <x v="120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x v="369"/>
    <x v="2619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x v="60"/>
    <x v="1491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x v="65"/>
    <x v="96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x v="65"/>
    <x v="2620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x v="114"/>
    <x v="2621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x v="50"/>
    <x v="121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x v="68"/>
    <x v="2382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x v="50"/>
    <x v="121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x v="50"/>
    <x v="1720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x v="50"/>
    <x v="144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x v="75"/>
    <x v="2622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x v="8"/>
    <x v="683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x v="7"/>
    <x v="1316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x v="108"/>
    <x v="26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x v="370"/>
    <x v="794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x v="5"/>
    <x v="2624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x v="7"/>
    <x v="2625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x v="49"/>
    <x v="2626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x v="8"/>
    <x v="73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x v="17"/>
    <x v="2627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x v="13"/>
    <x v="2628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x v="371"/>
    <x v="2629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x v="6"/>
    <x v="2630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x v="1"/>
    <x v="161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x v="2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x v="5"/>
    <x v="2632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x v="6"/>
    <x v="1622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x v="29"/>
    <x v="2633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x v="2"/>
    <x v="2634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x v="17"/>
    <x v="440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x v="42"/>
    <x v="2635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x v="8"/>
    <x v="2636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x v="8"/>
    <x v="2637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x v="372"/>
    <x v="753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x v="6"/>
    <x v="2638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x v="2"/>
    <x v="2639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x v="16"/>
    <x v="277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x v="15"/>
    <x v="2640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x v="12"/>
    <x v="375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x v="40"/>
    <x v="2641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x v="7"/>
    <x v="2643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x v="7"/>
    <x v="2644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x v="114"/>
    <x v="264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x v="66"/>
    <x v="2646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x v="70"/>
    <x v="2647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x v="53"/>
    <x v="2649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x v="56"/>
    <x v="2120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x v="63"/>
    <x v="2650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x v="63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x v="113"/>
    <x v="2652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x v="65"/>
    <x v="2653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x v="122"/>
    <x v="2654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x v="50"/>
    <x v="119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x v="50"/>
    <x v="31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x v="63"/>
    <x v="2655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x v="56"/>
    <x v="380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x v="50"/>
    <x v="120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x v="62"/>
    <x v="177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x v="53"/>
    <x v="119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x v="50"/>
    <x v="120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x v="82"/>
    <x v="2656"/>
    <x v="1"/>
    <x v="6"/>
  </r>
  <r>
    <n v="3861"/>
    <x v="3856"/>
    <s v="THE COMING OF THE LORD!"/>
    <n v="2000"/>
    <x v="173"/>
    <x v="2"/>
    <x v="0"/>
    <s v="USD"/>
    <n v="1415828820"/>
    <n v="1412258977"/>
    <b v="0"/>
    <x v="29"/>
    <b v="0"/>
    <s v="theater/plays"/>
    <x v="62"/>
    <x v="101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x v="50"/>
    <x v="120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x v="50"/>
    <x v="121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x v="60"/>
    <x v="135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x v="117"/>
    <x v="2235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x v="60"/>
    <x v="148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x v="55"/>
    <x v="2214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x v="29"/>
    <b v="0"/>
    <s v="theater/musical"/>
    <x v="50"/>
    <x v="119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x v="56"/>
    <x v="882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x v="77"/>
    <x v="1795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x v="56"/>
    <x v="140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x v="50"/>
    <x v="121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x v="50"/>
    <x v="121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x v="50"/>
    <x v="121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x v="50"/>
    <x v="121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x v="226"/>
    <x v="2355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x v="62"/>
    <x v="2657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x v="50"/>
    <x v="119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x v="50"/>
    <x v="121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x v="55"/>
    <x v="350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x v="62"/>
    <x v="380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x v="50"/>
    <x v="121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x v="50"/>
    <x v="121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x v="50"/>
    <x v="121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x v="50"/>
    <x v="121"/>
    <x v="1"/>
    <x v="40"/>
  </r>
  <r>
    <n v="3886"/>
    <x v="3881"/>
    <n v="1"/>
    <n v="10000"/>
    <x v="117"/>
    <x v="1"/>
    <x v="2"/>
    <s v="AUD"/>
    <n v="1418275702"/>
    <n v="1415683702"/>
    <b v="0"/>
    <x v="78"/>
    <b v="0"/>
    <s v="theater/musical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x v="53"/>
    <x v="827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x v="117"/>
    <x v="2418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x v="60"/>
    <x v="2658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x v="123"/>
    <x v="2659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x v="69"/>
    <x v="2218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x v="50"/>
    <x v="121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x v="66"/>
    <x v="2660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x v="56"/>
    <x v="1296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x v="62"/>
    <x v="73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x v="57"/>
    <x v="65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x v="69"/>
    <x v="1302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x v="60"/>
    <x v="368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x v="62"/>
    <x v="2661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x v="60"/>
    <x v="380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x v="50"/>
    <x v="121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x v="84"/>
    <b v="0"/>
    <s v="theater/plays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x v="81"/>
    <x v="266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x v="356"/>
    <x v="2664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x v="77"/>
    <x v="266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x v="114"/>
    <x v="1783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x v="50"/>
    <x v="1178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x v="56"/>
    <x v="2666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x v="121"/>
    <x v="2417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x v="50"/>
    <x v="12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x v="54"/>
    <x v="2667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x v="71"/>
    <x v="2274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x v="50"/>
    <x v="144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x v="50"/>
    <x v="121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x v="50"/>
    <x v="119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x v="50"/>
    <x v="375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x v="53"/>
    <x v="179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x v="62"/>
    <x v="817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x v="50"/>
    <x v="121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x v="59"/>
    <x v="2668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x v="81"/>
    <x v="2669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x v="77"/>
    <x v="1338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x v="54"/>
    <x v="144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x v="50"/>
    <x v="2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x v="60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x v="55"/>
    <x v="2670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x v="53"/>
    <x v="2671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x v="50"/>
    <x v="121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x v="50"/>
    <x v="121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x v="50"/>
    <x v="120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x v="63"/>
    <x v="1466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x v="57"/>
    <x v="2672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x v="156"/>
    <x v="2213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x v="50"/>
    <x v="121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x v="374"/>
    <x v="2673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x v="81"/>
    <x v="295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x v="50"/>
    <x v="144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x v="60"/>
    <x v="380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x v="50"/>
    <x v="121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x v="71"/>
    <x v="2674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x v="50"/>
    <x v="121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x v="50"/>
    <x v="144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x v="56"/>
    <x v="492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x v="56"/>
    <x v="470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x v="50"/>
    <x v="121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x v="63"/>
    <x v="267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x v="60"/>
    <x v="380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x v="50"/>
    <x v="120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x v="50"/>
    <x v="380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x v="5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x v="50"/>
    <x v="121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x v="148"/>
    <x v="97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x v="50"/>
    <x v="121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x v="50"/>
    <x v="582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x v="188"/>
    <x v="267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x v="148"/>
    <x v="821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x v="53"/>
    <x v="784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x v="50"/>
    <x v="678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x v="50"/>
    <x v="121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x v="52"/>
    <x v="823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x v="51"/>
    <x v="367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x v="60"/>
    <x v="377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x v="148"/>
    <x v="212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x v="57"/>
    <x v="1447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x v="50"/>
    <x v="148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x v="60"/>
    <x v="2678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x v="70"/>
    <x v="2679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x v="375"/>
    <x v="2680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x v="188"/>
    <x v="2681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x v="5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x v="216"/>
    <x v="268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x v="60"/>
    <x v="2683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x v="57"/>
    <x v="1261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x v="53"/>
    <x v="1714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x v="82"/>
    <x v="2641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x v="65"/>
    <x v="628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x v="131"/>
    <x v="2684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x v="188"/>
    <x v="2685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x v="54"/>
    <x v="2686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x v="151"/>
    <x v="2687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x v="53"/>
    <x v="1729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x v="50"/>
    <x v="121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x v="65"/>
    <x v="1534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x v="68"/>
    <x v="101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x v="62"/>
    <x v="2688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x v="50"/>
    <x v="362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x v="50"/>
    <x v="144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x v="131"/>
    <x v="827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x v="123"/>
    <x v="779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x v="50"/>
    <x v="121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x v="219"/>
    <x v="2689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x v="123"/>
    <x v="2690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x v="29"/>
    <b v="0"/>
    <s v="theater/plays"/>
    <x v="50"/>
    <x v="119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x v="151"/>
    <x v="2671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x v="53"/>
    <x v="2012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x v="54"/>
    <x v="96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x v="29"/>
    <b v="0"/>
    <s v="theater/plays"/>
    <x v="50"/>
    <x v="120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x v="60"/>
    <x v="13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x v="50"/>
    <x v="447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x v="50"/>
    <x v="144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x v="52"/>
    <x v="2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x v="65"/>
    <x v="380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x v="148"/>
    <x v="2691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x v="59"/>
    <x v="2692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x v="50"/>
    <x v="121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x v="60"/>
    <x v="31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x v="50"/>
    <x v="121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x v="50"/>
    <x v="120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x v="51"/>
    <x v="119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x v="60"/>
    <x v="1780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x v="114"/>
    <x v="151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x v="60"/>
    <x v="1797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x v="123"/>
    <x v="836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x v="60"/>
    <x v="368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x v="140"/>
    <x v="2693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x v="50"/>
    <x v="121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x v="62"/>
    <x v="368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x v="50"/>
    <x v="121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x v="113"/>
    <x v="2557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x v="58"/>
    <x v="2534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x v="50"/>
    <x v="121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x v="63"/>
    <x v="583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x v="50"/>
    <x v="121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x v="113"/>
    <x v="578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x v="73"/>
    <x v="269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x v="60"/>
    <x v="101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x v="153"/>
    <x v="269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x v="57"/>
    <x v="375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x v="81"/>
    <x v="2697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x v="64"/>
    <x v="8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x v="134"/>
    <x v="2698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x v="50"/>
    <x v="678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x v="50"/>
    <x v="582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x v="50"/>
    <x v="121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x v="50"/>
    <x v="120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x v="59"/>
    <x v="134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x v="53"/>
    <x v="440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x v="82"/>
    <x v="2699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x v="50"/>
    <x v="580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x v="50"/>
    <x v="120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x v="151"/>
    <x v="2700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x v="66"/>
    <x v="687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x v="50"/>
    <x v="121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x v="82"/>
    <x v="2701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x v="226"/>
    <x v="596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x v="66"/>
    <x v="947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x v="56"/>
    <x v="2702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x v="56"/>
    <x v="669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x v="56"/>
    <x v="2629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x v="50"/>
    <x v="121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x v="53"/>
    <x v="2703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x v="60"/>
    <x v="2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x v="118"/>
    <x v="105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x v="60"/>
    <x v="2704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x v="50"/>
    <x v="380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x v="220"/>
    <x v="2705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x v="60"/>
    <x v="2706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x v="122"/>
    <x v="2707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x v="123"/>
    <x v="440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x v="50"/>
    <x v="121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x v="50"/>
    <x v="447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x v="60"/>
    <x v="2708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x v="117"/>
    <x v="431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x v="129"/>
    <x v="2709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x v="50"/>
    <x v="121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x v="114"/>
    <x v="2710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x v="50"/>
    <x v="121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x v="50"/>
    <x v="144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x v="50"/>
    <x v="121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x v="63"/>
    <x v="2242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x v="53"/>
    <x v="1720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x v="66"/>
    <x v="2711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x v="50"/>
    <x v="119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x v="50"/>
    <x v="119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x v="62"/>
    <x v="2712"/>
    <x v="1"/>
    <x v="6"/>
  </r>
  <r>
    <n v="4087"/>
    <x v="4080"/>
    <s v="Comedy Stage Play"/>
    <n v="9600"/>
    <x v="117"/>
    <x v="2"/>
    <x v="0"/>
    <s v="USD"/>
    <n v="1468777786"/>
    <n v="1466185786"/>
    <b v="0"/>
    <x v="78"/>
    <b v="0"/>
    <s v="theater/plays"/>
    <x v="50"/>
    <x v="121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x v="62"/>
    <x v="179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x v="56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x v="55"/>
    <x v="156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x v="50"/>
    <x v="135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x v="53"/>
    <x v="2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x v="121"/>
    <x v="2713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x v="56"/>
    <x v="2714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x v="57"/>
    <x v="2715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x v="50"/>
    <x v="121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x v="50"/>
    <x v="121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x v="60"/>
    <x v="73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x v="50"/>
    <x v="121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x v="50"/>
    <x v="121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x v="117"/>
    <x v="2716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x v="54"/>
    <x v="407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x v="70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x v="113"/>
    <x v="2718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x v="376"/>
    <x v="2719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x v="53"/>
    <x v="2150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x v="53"/>
    <x v="578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x v="50"/>
    <x v="121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x v="129"/>
    <x v="2720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x v="56"/>
    <x v="2721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x v="544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x v="566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x v="580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x v="583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x v="589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x v="609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x v="634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x v="636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x v="782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x v="812"/>
    <x v="811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x v="818"/>
    <x v="817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x v="819"/>
    <x v="818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x v="823"/>
    <x v="822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x v="827"/>
    <x v="826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x v="829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x v="847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x v="848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x v="853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x v="862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x v="863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x v="864"/>
    <x v="863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x v="865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x v="866"/>
    <x v="865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x v="867"/>
    <x v="866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x v="868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x v="869"/>
    <x v="868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x v="870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x v="872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x v="873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x v="874"/>
    <x v="873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x v="876"/>
    <x v="875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x v="877"/>
    <x v="876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x v="878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x v="879"/>
    <x v="878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x v="900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x v="902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x v="903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x v="904"/>
    <x v="903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x v="905"/>
    <x v="904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x v="909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x v="910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x v="912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x v="915"/>
    <x v="914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x v="917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x v="918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x v="919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x v="924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x v="925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x v="930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x v="931"/>
    <x v="930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x v="932"/>
    <x v="931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x v="933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x v="934"/>
    <x v="933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x v="935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x v="937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x v="938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x v="939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x v="1380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x v="1722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x v="1727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x v="1734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x v="1739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7E8C0-12D5-7843-A975-395C87724EC8}" name="PivotTable8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defaultSubtotal="0">
      <items count="9">
        <item sd="0" x="0"/>
        <item sd="0" x="7"/>
        <item sd="0" x="6"/>
        <item sd="0" x="5"/>
        <item sd="0" x="4"/>
        <item sd="0" x="8"/>
        <item sd="0" x="3"/>
        <item sd="0" x="2"/>
        <item sd="0"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sd="0"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86">
    <format dxfId="101">
      <pivotArea grandRow="1" grandCol="1" outline="0" collapsedLevelsAreSubtotals="1" fieldPosition="0"/>
    </format>
    <format dxfId="100">
      <pivotArea dataOnly="0" labelOnly="1" grandCol="1" outline="0" fieldPosition="0"/>
    </format>
    <format dxfId="99">
      <pivotArea collapsedLevelsAreSubtotals="1" fieldPosition="0">
        <references count="1">
          <reference field="16" count="1">
            <x v="0"/>
          </reference>
        </references>
      </pivotArea>
    </format>
    <format dxfId="98">
      <pivotArea collapsedLevelsAreSubtotals="1" fieldPosition="0">
        <references count="1">
          <reference field="16" count="1">
            <x v="1"/>
          </reference>
        </references>
      </pivotArea>
    </format>
    <format dxfId="97">
      <pivotArea collapsedLevelsAreSubtotals="1" fieldPosition="0">
        <references count="1">
          <reference field="16" count="1">
            <x v="2"/>
          </reference>
        </references>
      </pivotArea>
    </format>
    <format dxfId="96">
      <pivotArea collapsedLevelsAreSubtotals="1" fieldPosition="0">
        <references count="1">
          <reference field="16" count="1">
            <x v="3"/>
          </reference>
        </references>
      </pivotArea>
    </format>
    <format dxfId="95">
      <pivotArea collapsedLevelsAreSubtotals="1" fieldPosition="0">
        <references count="1">
          <reference field="16" count="1">
            <x v="4"/>
          </reference>
        </references>
      </pivotArea>
    </format>
    <format dxfId="94">
      <pivotArea collapsedLevelsAreSubtotals="1" fieldPosition="0">
        <references count="1">
          <reference field="16" count="1">
            <x v="5"/>
          </reference>
        </references>
      </pivotArea>
    </format>
    <format dxfId="93">
      <pivotArea collapsedLevelsAreSubtotals="1" fieldPosition="0">
        <references count="1">
          <reference field="16" count="1">
            <x v="6"/>
          </reference>
        </references>
      </pivotArea>
    </format>
    <format dxfId="92">
      <pivotArea collapsedLevelsAreSubtotals="1" fieldPosition="0">
        <references count="1">
          <reference field="16" count="1">
            <x v="7"/>
          </reference>
        </references>
      </pivotArea>
    </format>
    <format dxfId="91">
      <pivotArea collapsedLevelsAreSubtotals="1" fieldPosition="0">
        <references count="1">
          <reference field="16" count="1">
            <x v="8"/>
          </reference>
        </references>
      </pivotArea>
    </format>
    <format dxfId="90">
      <pivotArea dataOnly="0" labelOnly="1" fieldPosition="0">
        <references count="1">
          <reference field="16" count="0"/>
        </references>
      </pivotArea>
    </format>
    <format dxfId="89">
      <pivotArea collapsedLevelsAreSubtotals="1" fieldPosition="0">
        <references count="1">
          <reference field="16" count="1">
            <x v="0"/>
          </reference>
        </references>
      </pivotArea>
    </format>
    <format dxfId="88">
      <pivotArea collapsedLevelsAreSubtotals="1" fieldPosition="0">
        <references count="1">
          <reference field="16" count="1">
            <x v="1"/>
          </reference>
        </references>
      </pivotArea>
    </format>
    <format dxfId="87">
      <pivotArea collapsedLevelsAreSubtotals="1" fieldPosition="0">
        <references count="1">
          <reference field="16" count="1">
            <x v="2"/>
          </reference>
        </references>
      </pivotArea>
    </format>
    <format dxfId="86">
      <pivotArea collapsedLevelsAreSubtotals="1" fieldPosition="0">
        <references count="1">
          <reference field="16" count="1">
            <x v="3"/>
          </reference>
        </references>
      </pivotArea>
    </format>
    <format dxfId="85">
      <pivotArea collapsedLevelsAreSubtotals="1" fieldPosition="0">
        <references count="1">
          <reference field="16" count="1">
            <x v="4"/>
          </reference>
        </references>
      </pivotArea>
    </format>
    <format dxfId="84">
      <pivotArea collapsedLevelsAreSubtotals="1" fieldPosition="0">
        <references count="1">
          <reference field="16" count="1">
            <x v="5"/>
          </reference>
        </references>
      </pivotArea>
    </format>
    <format dxfId="83">
      <pivotArea collapsedLevelsAreSubtotals="1" fieldPosition="0">
        <references count="1">
          <reference field="16" count="1">
            <x v="6"/>
          </reference>
        </references>
      </pivotArea>
    </format>
    <format dxfId="82">
      <pivotArea collapsedLevelsAreSubtotals="1" fieldPosition="0">
        <references count="1">
          <reference field="16" count="1">
            <x v="7"/>
          </reference>
        </references>
      </pivotArea>
    </format>
    <format dxfId="81">
      <pivotArea collapsedLevelsAreSubtotals="1" fieldPosition="0">
        <references count="1">
          <reference field="16" count="1">
            <x v="8"/>
          </reference>
        </references>
      </pivotArea>
    </format>
    <format dxfId="80">
      <pivotArea dataOnly="0" labelOnly="1" fieldPosition="0">
        <references count="1">
          <reference field="16" count="0"/>
        </references>
      </pivotArea>
    </format>
    <format dxfId="79">
      <pivotArea collapsedLevelsAreSubtotals="1" fieldPosition="0">
        <references count="1">
          <reference field="16" count="1">
            <x v="0"/>
          </reference>
        </references>
      </pivotArea>
    </format>
    <format dxfId="78">
      <pivotArea collapsedLevelsAreSubtotals="1" fieldPosition="0">
        <references count="1">
          <reference field="16" count="1">
            <x v="1"/>
          </reference>
        </references>
      </pivotArea>
    </format>
    <format dxfId="77">
      <pivotArea collapsedLevelsAreSubtotals="1" fieldPosition="0">
        <references count="1">
          <reference field="16" count="1">
            <x v="2"/>
          </reference>
        </references>
      </pivotArea>
    </format>
    <format dxfId="76">
      <pivotArea collapsedLevelsAreSubtotals="1" fieldPosition="0">
        <references count="1">
          <reference field="16" count="1">
            <x v="3"/>
          </reference>
        </references>
      </pivotArea>
    </format>
    <format dxfId="75">
      <pivotArea collapsedLevelsAreSubtotals="1" fieldPosition="0">
        <references count="1">
          <reference field="16" count="1">
            <x v="4"/>
          </reference>
        </references>
      </pivotArea>
    </format>
    <format dxfId="74">
      <pivotArea collapsedLevelsAreSubtotals="1" fieldPosition="0">
        <references count="1">
          <reference field="16" count="1">
            <x v="5"/>
          </reference>
        </references>
      </pivotArea>
    </format>
    <format dxfId="73">
      <pivotArea collapsedLevelsAreSubtotals="1" fieldPosition="0">
        <references count="1">
          <reference field="16" count="1">
            <x v="6"/>
          </reference>
        </references>
      </pivotArea>
    </format>
    <format dxfId="72">
      <pivotArea collapsedLevelsAreSubtotals="1" fieldPosition="0">
        <references count="1">
          <reference field="16" count="1">
            <x v="7"/>
          </reference>
        </references>
      </pivotArea>
    </format>
    <format dxfId="71">
      <pivotArea collapsedLevelsAreSubtotals="1" fieldPosition="0">
        <references count="1">
          <reference field="16" count="1">
            <x v="8"/>
          </reference>
        </references>
      </pivotArea>
    </format>
    <format dxfId="70">
      <pivotArea dataOnly="0" labelOnly="1" fieldPosition="0">
        <references count="1">
          <reference field="16" count="0"/>
        </references>
      </pivotArea>
    </format>
    <format dxfId="69">
      <pivotArea dataOnly="0" labelOnly="1" fieldPosition="0">
        <references count="1">
          <reference field="16" count="1">
            <x v="0"/>
          </reference>
        </references>
      </pivotArea>
    </format>
    <format dxfId="68">
      <pivotArea grandRow="1" grandCol="1" outline="0" collapsedLevelsAreSubtotals="1" fieldPosition="0"/>
    </format>
    <format dxfId="67">
      <pivotArea grandRow="1" outline="0" collapsedLevelsAreSubtotals="1" fieldPosition="0"/>
    </format>
    <format dxfId="66">
      <pivotArea grandRow="1" grandCol="1" outline="0" collapsedLevelsAreSubtotals="1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5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16" type="button" dataOnly="0" labelOnly="1" outline="0" axis="axisRow" fieldPosition="0"/>
    </format>
    <format dxfId="59">
      <pivotArea dataOnly="0" labelOnly="1" fieldPosition="0">
        <references count="1">
          <reference field="16" count="0"/>
        </references>
      </pivotArea>
    </format>
    <format dxfId="58">
      <pivotArea dataOnly="0" labelOnly="1" grandRow="1" outline="0" fieldPosition="0"/>
    </format>
    <format dxfId="57">
      <pivotArea dataOnly="0" labelOnly="1" fieldPosition="0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56">
      <pivotArea dataOnly="0" labelOnly="1" fieldPosition="0">
        <references count="1">
          <reference field="5" count="0"/>
        </references>
      </pivotArea>
    </format>
    <format dxfId="55">
      <pivotArea dataOnly="0" labelOnly="1" grandCol="1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6" type="button" dataOnly="0" labelOnly="1" outline="0" axis="axisRow" fieldPosition="0"/>
    </format>
    <format dxfId="48">
      <pivotArea dataOnly="0" labelOnly="1" fieldPosition="0">
        <references count="1">
          <reference field="16" count="0"/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  <format dxfId="43">
      <pivotArea field="16" grandCol="1" collapsedLevelsAreSubtotals="1" axis="axisRow" fieldPosition="0">
        <references count="1">
          <reference field="16" count="1">
            <x v="0"/>
          </reference>
        </references>
      </pivotArea>
    </format>
    <format dxfId="42">
      <pivotArea field="16" grandCol="1" collapsedLevelsAreSubtotals="1" axis="axisRow" fieldPosition="0">
        <references count="1">
          <reference field="16" count="1">
            <x v="1"/>
          </reference>
        </references>
      </pivotArea>
    </format>
    <format dxfId="41">
      <pivotArea field="17" grandCol="1" collapsedLevelsAreSubtotals="1" axis="axisRow" fieldPosition="1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40">
      <pivotArea field="16" grandCol="1" collapsedLevelsAreSubtotals="1" axis="axisRow" fieldPosition="0">
        <references count="1">
          <reference field="16" count="1">
            <x v="2"/>
          </reference>
        </references>
      </pivotArea>
    </format>
    <format dxfId="39">
      <pivotArea field="16" grandCol="1" collapsedLevelsAreSubtotals="1" axis="axisRow" fieldPosition="0">
        <references count="1">
          <reference field="16" count="1">
            <x v="3"/>
          </reference>
        </references>
      </pivotArea>
    </format>
    <format dxfId="38">
      <pivotArea collapsedLevelsAreSubtotals="1" fieldPosition="0">
        <references count="2">
          <reference field="5" count="1" selected="0">
            <x v="3"/>
          </reference>
          <reference field="16" count="1">
            <x v="1"/>
          </reference>
        </references>
      </pivotArea>
    </format>
    <format dxfId="37">
      <pivotArea field="16" grandCol="1" collapsedLevelsAreSubtotals="1" axis="axisRow" fieldPosition="0">
        <references count="1">
          <reference field="16" count="1">
            <x v="1"/>
          </reference>
        </references>
      </pivotArea>
    </format>
    <format dxfId="36">
      <pivotArea collapsedLevelsAreSubtotals="1" fieldPosition="0">
        <references count="3">
          <reference field="5" count="1" selected="0">
            <x v="3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35">
      <pivotArea field="17" grandCol="1" collapsedLevelsAreSubtotals="1" axis="axisRow" fieldPosition="1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34">
      <pivotArea collapsedLevelsAreSubtotals="1" fieldPosition="0">
        <references count="2">
          <reference field="5" count="1" selected="0">
            <x v="3"/>
          </reference>
          <reference field="16" count="1">
            <x v="2"/>
          </reference>
        </references>
      </pivotArea>
    </format>
    <format dxfId="33">
      <pivotArea field="16" grandCol="1" collapsedLevelsAreSubtotals="1" axis="axisRow" fieldPosition="0">
        <references count="1">
          <reference field="16" count="1">
            <x v="2"/>
          </reference>
        </references>
      </pivotArea>
    </format>
    <format dxfId="32">
      <pivotArea collapsedLevelsAreSubtotals="1" fieldPosition="0">
        <references count="2">
          <reference field="5" count="1" selected="0">
            <x v="3"/>
          </reference>
          <reference field="16" count="1">
            <x v="3"/>
          </reference>
        </references>
      </pivotArea>
    </format>
    <format dxfId="31">
      <pivotArea field="16" grandCol="1" collapsedLevelsAreSubtotals="1" axis="axisRow" fieldPosition="0">
        <references count="1">
          <reference field="16" count="1">
            <x v="3"/>
          </reference>
        </references>
      </pivotArea>
    </format>
    <format dxfId="30">
      <pivotArea collapsedLevelsAreSubtotals="1" fieldPosition="0">
        <references count="2">
          <reference field="5" count="1" selected="0">
            <x v="3"/>
          </reference>
          <reference field="16" count="1">
            <x v="4"/>
          </reference>
        </references>
      </pivotArea>
    </format>
    <format dxfId="29">
      <pivotArea field="16" grandCol="1" collapsedLevelsAreSubtotals="1" axis="axisRow" fieldPosition="0">
        <references count="1">
          <reference field="16" count="1">
            <x v="4"/>
          </reference>
        </references>
      </pivotArea>
    </format>
    <format dxfId="28">
      <pivotArea collapsedLevelsAreSubtotals="1" fieldPosition="0">
        <references count="2">
          <reference field="5" count="1" selected="0">
            <x v="3"/>
          </reference>
          <reference field="16" count="1">
            <x v="5"/>
          </reference>
        </references>
      </pivotArea>
    </format>
    <format dxfId="27">
      <pivotArea field="16" grandCol="1" collapsedLevelsAreSubtotals="1" axis="axisRow" fieldPosition="0">
        <references count="1">
          <reference field="16" count="1">
            <x v="5"/>
          </reference>
        </references>
      </pivotArea>
    </format>
    <format dxfId="26">
      <pivotArea collapsedLevelsAreSubtotals="1" fieldPosition="0">
        <references count="2">
          <reference field="5" count="1" selected="0">
            <x v="3"/>
          </reference>
          <reference field="16" count="1">
            <x v="6"/>
          </reference>
        </references>
      </pivotArea>
    </format>
    <format dxfId="25">
      <pivotArea field="16" grandCol="1" collapsedLevelsAreSubtotals="1" axis="axisRow" fieldPosition="0">
        <references count="1">
          <reference field="16" count="1">
            <x v="6"/>
          </reference>
        </references>
      </pivotArea>
    </format>
    <format dxfId="24">
      <pivotArea collapsedLevelsAreSubtotals="1" fieldPosition="0">
        <references count="2">
          <reference field="5" count="1" selected="0">
            <x v="3"/>
          </reference>
          <reference field="16" count="1">
            <x v="7"/>
          </reference>
        </references>
      </pivotArea>
    </format>
    <format dxfId="23">
      <pivotArea field="16" grandCol="1" collapsedLevelsAreSubtotals="1" axis="axisRow" fieldPosition="0">
        <references count="1">
          <reference field="16" count="1">
            <x v="7"/>
          </reference>
        </references>
      </pivotArea>
    </format>
    <format dxfId="22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  <format dxfId="21">
      <pivotArea field="16" grandCol="1" collapsedLevelsAreSubtotals="1" axis="axisRow" fieldPosition="0">
        <references count="1">
          <reference field="16" count="1">
            <x v="8"/>
          </reference>
        </references>
      </pivotArea>
    </format>
    <format dxfId="20">
      <pivotArea dataOnly="0" labelOnly="1" fieldPosition="0">
        <references count="1">
          <reference field="5" count="1">
            <x v="2"/>
          </reference>
        </references>
      </pivotArea>
    </format>
    <format dxfId="19">
      <pivotArea dataOnly="0" labelOnly="1" grandCol="1" outline="0" fieldPosition="0"/>
    </format>
    <format dxfId="18">
      <pivotArea dataOnly="0" labelOnly="1" fieldPosition="0">
        <references count="1">
          <reference field="5" count="1">
            <x v="3"/>
          </reference>
        </references>
      </pivotArea>
    </format>
    <format dxfId="17">
      <pivotArea dataOnly="0" labelOnly="1" fieldPosition="0">
        <references count="1">
          <reference field="5" count="1">
            <x v="1"/>
          </reference>
        </references>
      </pivotArea>
    </format>
    <format dxfId="16">
      <pivotArea dataOnly="0" labelOnly="1" fieldPosition="0">
        <references count="1">
          <reference field="5" count="1">
            <x v="0"/>
          </reference>
        </references>
      </pivotArea>
    </format>
  </formats>
  <chartFormats count="13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14345-7FB5-2D47-9834-4F6287061F20}" name="PivotTable1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axis="axisRow" showAll="0">
      <items count="4108">
        <item h="1" sd="0" x="2978"/>
        <item h="1" sd="0" x="3269"/>
        <item h="1" sd="0" x="3401"/>
        <item h="1" sd="0" x="3151"/>
        <item h="1" sd="0" x="3282"/>
        <item sd="0" x="3733"/>
        <item sd="0" x="2863"/>
        <item sd="0" x="3256"/>
        <item sd="0" x="3414"/>
        <item sd="0" x="3922"/>
        <item sd="0" x="3843"/>
        <item sd="0" x="3536"/>
        <item x="48"/>
        <item sd="0" x="3520"/>
        <item sd="0" x="3451"/>
        <item x="1023"/>
        <item sd="0" x="3444"/>
        <item sd="0" x="3934"/>
        <item sd="0" x="3915"/>
        <item x="2946"/>
        <item sd="0" x="4048"/>
        <item sd="0" x="4046"/>
        <item sd="0" x="3243"/>
        <item x="1747"/>
        <item sd="0" x="3991"/>
        <item sd="0" x="486"/>
        <item x="2095"/>
        <item sd="0" x="4083"/>
        <item x="1529"/>
        <item x="209"/>
        <item sd="0" x="3929"/>
        <item sd="0" x="465"/>
        <item x="1202"/>
        <item x="937"/>
        <item x="792"/>
        <item sd="0" x="3153"/>
        <item x="3118"/>
        <item x="2508"/>
        <item x="865"/>
        <item sd="0" x="3541"/>
        <item x="75"/>
        <item x="2750"/>
        <item x="2488"/>
        <item x="1771"/>
        <item x="1726"/>
        <item sd="0" x="3793"/>
        <item sd="0" x="2872"/>
        <item x="842"/>
        <item x="347"/>
        <item sd="0" x="2880"/>
        <item x="821"/>
        <item x="1721"/>
        <item x="2007"/>
        <item sd="0" x="3310"/>
        <item x="1701"/>
        <item x="1827"/>
        <item x="1422"/>
        <item x="2293"/>
        <item x="254"/>
        <item x="1224"/>
        <item sd="0" x="3530"/>
        <item sd="0" x="430"/>
        <item sd="0" x="3368"/>
        <item x="1503"/>
        <item sd="0" x="3836"/>
        <item x="861"/>
        <item sd="0" x="3802"/>
        <item x="1394"/>
        <item sd="0" x="437"/>
        <item x="1281"/>
        <item x="241"/>
        <item sd="0" x="3692"/>
        <item sd="0" x="3706"/>
        <item sd="0" x="3591"/>
        <item x="1381"/>
        <item sd="0" x="2895"/>
        <item x="59"/>
        <item sd="0" x="3416"/>
        <item x="742"/>
        <item x="925"/>
        <item sd="0" x="3271"/>
        <item sd="0" x="3487"/>
        <item x="94"/>
        <item x="2407"/>
        <item x="921"/>
        <item x="2477"/>
        <item x="2691"/>
        <item x="3068"/>
        <item x="192"/>
        <item sd="0" x="3406"/>
        <item sd="0" x="3905"/>
        <item x="363"/>
        <item sd="0" x="2882"/>
        <item sd="0" x="3677"/>
        <item x="93"/>
        <item x="2215"/>
        <item x="1628"/>
        <item sd="0" x="3800"/>
        <item x="54"/>
        <item x="135"/>
        <item x="1187"/>
        <item sd="0" x="3870"/>
        <item x="82"/>
        <item sd="0" x="2838"/>
        <item sd="0" x="2835"/>
        <item sd="0" x="3984"/>
        <item sd="0" x="3946"/>
        <item x="1562"/>
        <item x="113"/>
        <item sd="0" x="2257"/>
        <item sd="0" x="3150"/>
        <item sd="0" x="467"/>
        <item sd="0" x="3774"/>
        <item x="1762"/>
        <item sd="0" x="3621"/>
        <item sd="0" x="4000"/>
        <item sd="0" x="3209"/>
        <item x="1364"/>
        <item sd="0" x="1288"/>
        <item sd="0" x="2783"/>
        <item sd="0" x="3504"/>
        <item sd="0" x="523"/>
        <item sd="0" x="539"/>
        <item x="2316"/>
        <item x="2162"/>
        <item sd="0" x="2907"/>
        <item sd="0" x="3851"/>
        <item x="3085"/>
        <item x="1713"/>
        <item sd="0" x="3678"/>
        <item sd="0" x="3453"/>
        <item x="2110"/>
        <item x="1236"/>
        <item x="582"/>
        <item sd="0" x="3264"/>
        <item sd="0" x="2877"/>
        <item x="302"/>
        <item x="764"/>
        <item x="1025"/>
        <item sd="0" x="3758"/>
        <item x="2309"/>
        <item x="2397"/>
        <item x="146"/>
        <item sd="0" x="3229"/>
        <item x="34"/>
        <item x="1048"/>
        <item x="232"/>
        <item x="2619"/>
        <item sd="0" x="3390"/>
        <item x="3056"/>
        <item x="1429"/>
        <item x="2525"/>
        <item x="3075"/>
        <item sd="0" x="2848"/>
        <item x="913"/>
        <item sd="0" x="3863"/>
        <item sd="0" x="3320"/>
        <item sd="0" x="3804"/>
        <item x="1573"/>
        <item x="2646"/>
        <item x="1109"/>
        <item x="2575"/>
        <item x="2605"/>
        <item sd="0" x="3549"/>
        <item sd="0" x="3544"/>
        <item x="1549"/>
        <item sd="0" x="3488"/>
        <item x="11"/>
        <item x="1184"/>
        <item sd="0" x="4026"/>
        <item x="1756"/>
        <item x="906"/>
        <item sd="0" x="2238"/>
        <item sd="0" x="4029"/>
        <item sd="0" x="3327"/>
        <item x="1404"/>
        <item x="790"/>
        <item x="1475"/>
        <item x="14"/>
        <item x="195"/>
        <item sd="0" x="472"/>
        <item x="2123"/>
        <item x="698"/>
        <item x="2014"/>
        <item x="1142"/>
        <item x="356"/>
        <item x="2077"/>
        <item sd="0" x="4095"/>
        <item x="1900"/>
        <item x="1211"/>
        <item x="726"/>
        <item sd="0" x="3232"/>
        <item x="173"/>
        <item x="1471"/>
        <item x="382"/>
        <item sd="0" x="3881"/>
        <item x="1530"/>
        <item sd="0" x="2971"/>
        <item x="1605"/>
        <item x="2997"/>
        <item sd="0" x="3131"/>
        <item x="1363"/>
        <item x="1484"/>
        <item x="750"/>
        <item sd="0" x="3187"/>
        <item sd="0" x="3515"/>
        <item x="2353"/>
        <item x="366"/>
        <item sd="0" x="3226"/>
        <item x="1572"/>
        <item sd="0" x="4085"/>
        <item x="1053"/>
        <item x="768"/>
        <item x="2571"/>
        <item sd="0" x="2800"/>
        <item sd="0" x="3979"/>
        <item x="1362"/>
        <item sd="0" x="3861"/>
        <item sd="0" x="3823"/>
        <item x="918"/>
        <item x="2580"/>
        <item x="1145"/>
        <item sd="0" x="3983"/>
        <item x="189"/>
        <item sd="0" x="4105"/>
        <item sd="0" x="2914"/>
        <item x="2763"/>
        <item sd="0" x="3307"/>
        <item x="2955"/>
        <item sd="0" x="3378"/>
        <item sd="0" x="3561"/>
        <item x="2716"/>
        <item x="3091"/>
        <item x="3027"/>
        <item sd="0" x="3814"/>
        <item sd="0" x="3703"/>
        <item sd="0" x="3679"/>
        <item x="1495"/>
        <item x="339"/>
        <item x="1344"/>
        <item sd="0" x="2866"/>
        <item x="2944"/>
        <item sd="0" x="4058"/>
        <item x="2335"/>
        <item x="264"/>
        <item x="1338"/>
        <item x="2662"/>
        <item x="1468"/>
        <item x="3021"/>
        <item sd="0" x="2790"/>
        <item sd="0" x="4002"/>
        <item x="581"/>
        <item x="365"/>
        <item sd="0" x="3173"/>
        <item x="857"/>
        <item x="744"/>
        <item x="877"/>
        <item sd="0" x="3977"/>
        <item x="1589"/>
        <item x="3014"/>
        <item x="1860"/>
        <item x="2954"/>
        <item sd="0" x="3791"/>
        <item x="66"/>
        <item x="2764"/>
        <item sd="0" x="3794"/>
        <item sd="0" x="2258"/>
        <item x="2313"/>
        <item x="743"/>
        <item sd="0" x="515"/>
        <item sd="0" x="3181"/>
        <item sd="0" x="3948"/>
        <item x="2748"/>
        <item x="1230"/>
        <item x="1232"/>
        <item x="1320"/>
        <item x="954"/>
        <item x="1113"/>
        <item x="700"/>
        <item sd="0" x="4098"/>
        <item sd="0" x="3434"/>
        <item x="2106"/>
        <item x="276"/>
        <item x="2303"/>
        <item x="2073"/>
        <item x="1127"/>
        <item x="1577"/>
        <item x="182"/>
        <item x="2022"/>
        <item sd="0" x="3762"/>
        <item x="2107"/>
        <item sd="0" x="2804"/>
        <item sd="0" x="2787"/>
        <item x="3016"/>
        <item x="3046"/>
        <item x="2614"/>
        <item sd="0" x="3349"/>
        <item sd="0" x="3584"/>
        <item sd="0" x="3223"/>
        <item x="2086"/>
        <item x="892"/>
        <item x="1242"/>
        <item x="1752"/>
        <item sd="0" x="3826"/>
        <item x="2074"/>
        <item x="1100"/>
        <item sd="0" x="3657"/>
        <item x="1587"/>
        <item x="1883"/>
        <item x="924"/>
        <item x="1205"/>
        <item sd="0" x="3811"/>
        <item sd="0" x="3914"/>
        <item sd="0" x="2816"/>
        <item x="1235"/>
        <item sd="0" x="3652"/>
        <item sd="0" x="3759"/>
        <item sd="0" x="506"/>
        <item sd="0" x="4078"/>
        <item x="1229"/>
        <item x="2718"/>
        <item x="2683"/>
        <item sd="0" x="3169"/>
        <item x="1963"/>
        <item x="694"/>
        <item sd="0" x="496"/>
        <item x="661"/>
        <item sd="0" x="3595"/>
        <item x="1311"/>
        <item x="1254"/>
        <item x="2374"/>
        <item x="1879"/>
        <item sd="0" x="3938"/>
        <item x="1498"/>
        <item x="551"/>
        <item sd="0" x="3631"/>
        <item sd="0" x="2894"/>
        <item sd="0" x="2236"/>
        <item sd="0" x="3879"/>
        <item x="1716"/>
        <item sd="0" x="3295"/>
        <item x="1777"/>
        <item sd="0" x="3237"/>
        <item x="606"/>
        <item x="3110"/>
        <item sd="0" x="3370"/>
        <item x="1220"/>
        <item x="1046"/>
        <item x="1004"/>
        <item x="543"/>
        <item sd="0" x="3649"/>
        <item x="1787"/>
        <item x="369"/>
        <item x="1442"/>
        <item x="1616"/>
        <item sd="0" x="3435"/>
        <item x="2542"/>
        <item sd="0" x="3603"/>
        <item x="1518"/>
        <item sd="0" x="4093"/>
        <item sd="0" x="2869"/>
        <item x="1882"/>
        <item x="1034"/>
        <item x="1806"/>
        <item sd="0" x="4049"/>
        <item x="2290"/>
        <item x="263"/>
        <item x="344"/>
        <item x="1798"/>
        <item x="2092"/>
        <item x="2459"/>
        <item x="933"/>
        <item sd="0" x="3467"/>
        <item sd="0" x="3440"/>
        <item sd="0" x="3688"/>
        <item sd="0" x="3483"/>
        <item x="321"/>
        <item sd="0" x="2915"/>
        <item x="1808"/>
        <item x="1590"/>
        <item x="607"/>
        <item x="2751"/>
        <item sd="0" x="2886"/>
        <item x="600"/>
        <item sd="0" x="3573"/>
        <item sd="0" x="3990"/>
        <item sd="0" x="2930"/>
        <item sd="0" x="2805"/>
        <item sd="0" x="3421"/>
        <item sd="0" x="4090"/>
        <item x="1677"/>
        <item x="972"/>
        <item x="2203"/>
        <item sd="0" x="498"/>
        <item x="2707"/>
        <item x="1696"/>
        <item x="164"/>
        <item sd="0" x="4014"/>
        <item x="43"/>
        <item x="1129"/>
        <item x="884"/>
        <item sd="0" x="482"/>
        <item x="2304"/>
        <item sd="0" x="3578"/>
        <item x="216"/>
        <item x="388"/>
        <item x="3120"/>
        <item x="1346"/>
        <item x="711"/>
        <item sd="0" x="3752"/>
        <item x="2622"/>
        <item sd="0"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sd="0" x="3144"/>
        <item x="2160"/>
        <item x="2406"/>
        <item x="2286"/>
        <item x="352"/>
        <item sd="0" x="2885"/>
        <item x="16"/>
        <item x="2476"/>
        <item sd="0" x="3191"/>
        <item sd="0" x="2887"/>
        <item sd="0" x="3519"/>
        <item sd="0" x="4024"/>
        <item sd="0" x="2782"/>
        <item x="1981"/>
        <item x="1274"/>
        <item sd="0" x="3409"/>
        <item x="2629"/>
        <item sd="0" x="2193"/>
        <item sd="0" x="535"/>
        <item sd="0" x="3323"/>
        <item sd="0" x="4064"/>
        <item x="1194"/>
        <item x="2023"/>
        <item x="746"/>
        <item x="855"/>
        <item x="1962"/>
        <item sd="0" x="3935"/>
        <item sd="0" x="4074"/>
        <item x="2358"/>
        <item x="289"/>
        <item x="648"/>
        <item x="952"/>
        <item sd="0" x="3844"/>
        <item x="1878"/>
        <item sd="0" x="3784"/>
        <item x="1652"/>
        <item sd="0" x="2900"/>
        <item x="1553"/>
        <item x="1638"/>
        <item sd="0" x="495"/>
        <item x="999"/>
        <item x="153"/>
        <item sd="0" x="3443"/>
        <item x="2124"/>
        <item x="27"/>
        <item x="1978"/>
        <item x="2983"/>
        <item sd="0" x="478"/>
        <item x="3007"/>
        <item sd="0" x="3565"/>
        <item sd="0" x="3962"/>
        <item x="225"/>
        <item sd="0" x="2232"/>
        <item x="1106"/>
        <item x="23"/>
        <item sd="0" x="443"/>
        <item x="1175"/>
        <item x="2697"/>
        <item x="1147"/>
        <item x="2654"/>
        <item sd="0" x="3413"/>
        <item x="2956"/>
        <item x="1554"/>
        <item x="2717"/>
        <item sd="0" x="3724"/>
        <item x="3012"/>
        <item x="2567"/>
        <item x="1380"/>
        <item x="2005"/>
        <item sd="0" x="2225"/>
        <item x="1118"/>
        <item x="1164"/>
        <item x="2112"/>
        <item sd="0" x="537"/>
        <item x="2292"/>
        <item x="838"/>
        <item x="3121"/>
        <item x="2220"/>
        <item sd="0" x="3472"/>
        <item sd="0" x="3795"/>
        <item x="1826"/>
        <item x="1264"/>
        <item x="1227"/>
        <item sd="0" x="3516"/>
        <item x="99"/>
        <item x="1570"/>
        <item sd="0" x="3719"/>
        <item x="1188"/>
        <item x="2535"/>
        <item x="2125"/>
        <item x="1357"/>
        <item x="1039"/>
        <item sd="0" x="2867"/>
        <item x="2360"/>
        <item x="249"/>
        <item x="2456"/>
        <item x="2323"/>
        <item x="3020"/>
        <item sd="0" x="3760"/>
        <item sd="0" x="1300"/>
        <item x="308"/>
        <item x="1115"/>
        <item x="1454"/>
        <item x="794"/>
        <item sd="0" x="3428"/>
        <item x="3357"/>
        <item x="296"/>
        <item sd="0" x="2879"/>
        <item x="1332"/>
        <item x="415"/>
        <item x="1042"/>
        <item sd="0" x="3143"/>
        <item sd="0" x="3798"/>
        <item x="1792"/>
        <item x="2715"/>
        <item x="3006"/>
        <item x="967"/>
        <item sd="0" x="2781"/>
        <item sd="0" x="3163"/>
        <item sd="0"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sd="0" x="3354"/>
        <item x="2702"/>
        <item x="217"/>
        <item sd="0" x="2256"/>
        <item sd="0" x="3899"/>
        <item x="1482"/>
        <item x="1832"/>
        <item x="2942"/>
        <item x="124"/>
        <item x="185"/>
        <item sd="0" x="3625"/>
        <item x="1151"/>
        <item sd="0" x="4075"/>
        <item x="361"/>
        <item sd="0" x="2265"/>
        <item x="2289"/>
        <item sd="0" x="436"/>
        <item x="1574"/>
        <item sd="0" x="3833"/>
        <item x="206"/>
        <item x="1764"/>
        <item x="1275"/>
        <item x="690"/>
        <item x="130"/>
        <item x="2285"/>
        <item sd="0" x="3585"/>
        <item x="3030"/>
        <item sd="0" x="3257"/>
        <item x="1965"/>
        <item x="646"/>
        <item x="1526"/>
        <item x="2307"/>
        <item x="1805"/>
        <item sd="0" x="3558"/>
        <item x="1419"/>
        <item sd="0" x="3517"/>
        <item sd="0" x="3590"/>
        <item x="250"/>
        <item x="1308"/>
        <item sd="0" x="3787"/>
        <item x="2449"/>
        <item x="2759"/>
        <item x="2451"/>
        <item x="2453"/>
        <item x="2505"/>
        <item sd="0" x="3873"/>
        <item x="791"/>
        <item x="556"/>
        <item x="1247"/>
        <item x="2171"/>
        <item x="1028"/>
        <item x="2475"/>
        <item sd="0" x="2976"/>
        <item x="2328"/>
        <item x="342"/>
        <item x="2950"/>
        <item x="1396"/>
        <item x="631"/>
        <item x="2033"/>
        <item x="1197"/>
        <item x="38"/>
        <item x="1676"/>
        <item sd="0" x="3350"/>
        <item x="2731"/>
        <item x="1920"/>
        <item x="1341"/>
        <item sd="0" x="2924"/>
        <item sd="0" x="3162"/>
        <item x="2441"/>
        <item sd="0" x="2809"/>
        <item x="879"/>
        <item x="1036"/>
        <item sd="0" x="3249"/>
        <item sd="0" x="3709"/>
        <item sd="0" x="2899"/>
        <item x="24"/>
        <item sd="0" x="2901"/>
        <item x="1474"/>
        <item sd="0" x="3155"/>
        <item sd="0" x="3999"/>
        <item x="2526"/>
        <item x="1040"/>
        <item sd="0" x="499"/>
        <item x="1373"/>
        <item sd="0" x="3933"/>
        <item sd="0" x="3822"/>
        <item sd="0" x="2181"/>
        <item sd="0" x="2182"/>
        <item x="2446"/>
        <item sd="0" x="3816"/>
        <item x="42"/>
        <item x="2173"/>
        <item x="739"/>
        <item x="3076"/>
        <item x="19"/>
        <item sd="0" x="3215"/>
        <item x="2025"/>
        <item sd="0"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sd="0" x="2811"/>
        <item sd="0" x="431"/>
        <item x="3054"/>
        <item x="2758"/>
        <item x="2566"/>
        <item sd="0" x="3219"/>
        <item sd="0" x="3902"/>
        <item x="2348"/>
        <item x="550"/>
        <item x="3090"/>
        <item x="1636"/>
        <item x="984"/>
        <item sd="0" x="3284"/>
        <item x="2756"/>
        <item x="1870"/>
        <item x="2057"/>
        <item x="2339"/>
        <item sd="0" x="2233"/>
        <item x="2624"/>
        <item x="2596"/>
        <item sd="0" x="3878"/>
        <item x="1195"/>
        <item x="866"/>
        <item sd="0" x="3189"/>
        <item x="2484"/>
        <item x="2161"/>
        <item x="2647"/>
        <item sd="0" x="3940"/>
        <item x="1700"/>
        <item sd="0" x="3211"/>
        <item x="13"/>
        <item sd="0" x="3362"/>
        <item sd="0" x="3287"/>
        <item x="1674"/>
        <item x="1246"/>
        <item x="2381"/>
        <item sd="0" x="3569"/>
        <item x="2122"/>
        <item sd="0" x="3626"/>
        <item x="645"/>
        <item x="640"/>
        <item x="1902"/>
        <item x="985"/>
        <item x="2502"/>
        <item x="840"/>
        <item sd="0" x="3788"/>
        <item sd="0" x="4079"/>
        <item x="81"/>
        <item sd="0" x="3921"/>
        <item sd="0" x="3138"/>
        <item sd="0" x="3127"/>
        <item x="1678"/>
        <item sd="0" x="3680"/>
        <item x="1971"/>
        <item x="1869"/>
        <item x="1619"/>
        <item sd="0" x="3234"/>
        <item x="141"/>
        <item sd="0" x="422"/>
        <item x="143"/>
        <item x="1571"/>
        <item sd="0" x="3743"/>
        <item x="1741"/>
        <item x="2097"/>
        <item sd="0" x="2896"/>
        <item sd="0" x="3236"/>
        <item x="938"/>
        <item x="721"/>
        <item x="757"/>
        <item x="1667"/>
        <item x="336"/>
        <item sd="0" x="3954"/>
        <item x="2659"/>
        <item x="847"/>
        <item sd="0" x="2249"/>
        <item x="1225"/>
        <item x="1548"/>
        <item x="332"/>
        <item x="1026"/>
        <item x="1614"/>
        <item sd="0" x="2268"/>
        <item x="1911"/>
        <item x="2"/>
        <item sd="0" x="3923"/>
        <item x="218"/>
        <item x="749"/>
        <item x="1061"/>
        <item x="561"/>
        <item sd="0" x="3615"/>
        <item x="1150"/>
        <item x="1014"/>
        <item x="732"/>
        <item x="1385"/>
        <item sd="0" x="3669"/>
        <item sd="0" x="3204"/>
        <item x="1186"/>
        <item x="2754"/>
        <item x="2692"/>
        <item sd="0" x="3387"/>
        <item x="1877"/>
        <item x="2174"/>
        <item sd="0" x="3405"/>
        <item sd="0" x="3537"/>
        <item x="2088"/>
        <item x="2461"/>
        <item x="669"/>
        <item x="1732"/>
        <item x="727"/>
        <item sd="0" x="3201"/>
        <item x="1688"/>
        <item x="542"/>
        <item x="1917"/>
        <item sd="0" x="2865"/>
        <item sd="0" x="3268"/>
        <item sd="0" x="4037"/>
        <item x="15"/>
        <item sd="0" x="3596"/>
        <item x="976"/>
        <item x="2708"/>
        <item sd="0" x="3437"/>
        <item sd="0" x="4070"/>
        <item sd="0" x="488"/>
        <item sd="0" x="3949"/>
        <item x="804"/>
        <item x="1840"/>
        <item sd="0"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sd="0" x="507"/>
        <item x="1555"/>
        <item x="1763"/>
        <item x="197"/>
        <item sd="0" x="2876"/>
        <item sd="0" x="3308"/>
        <item sd="0" x="2846"/>
        <item x="3044"/>
        <item sd="0" x="3214"/>
        <item sd="0" x="3766"/>
        <item x="1801"/>
        <item sd="0" x="3924"/>
        <item x="1564"/>
        <item sd="0" x="3551"/>
        <item sd="0" x="4081"/>
        <item x="2297"/>
        <item sd="0" x="522"/>
        <item sd="0" x="531"/>
        <item x="2499"/>
        <item x="2540"/>
        <item x="160"/>
        <item sd="0" x="2200"/>
        <item x="1348"/>
        <item x="2471"/>
        <item x="1951"/>
        <item sd="0" x="3700"/>
        <item sd="0" x="440"/>
        <item x="147"/>
        <item x="1523"/>
        <item x="1143"/>
        <item sd="0" x="2908"/>
        <item x="2690"/>
        <item x="2306"/>
        <item x="717"/>
        <item x="2486"/>
        <item x="2545"/>
        <item x="1309"/>
        <item x="3115"/>
        <item sd="0" x="3694"/>
        <item sd="0" x="3715"/>
        <item sd="0" x="530"/>
        <item sd="0" x="3331"/>
        <item sd="0" x="2263"/>
        <item sd="0" x="3380"/>
        <item x="1502"/>
        <item sd="0" x="3167"/>
        <item x="926"/>
        <item sd="0" x="3819"/>
        <item sd="0"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sd="0" x="3426"/>
        <item sd="0" x="3604"/>
        <item sd="0" x="3463"/>
        <item x="3071"/>
        <item x="2359"/>
        <item x="2287"/>
        <item sd="0" x="2260"/>
        <item x="3082"/>
        <item sd="0" x="2972"/>
        <item x="945"/>
        <item x="1260"/>
        <item x="333"/>
        <item sd="0"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sd="0" x="3177"/>
        <item x="2730"/>
        <item x="1086"/>
        <item x="417"/>
        <item x="1327"/>
        <item x="2373"/>
        <item sd="0" x="3457"/>
        <item x="681"/>
        <item sd="0" x="2183"/>
        <item x="2573"/>
        <item x="1905"/>
        <item x="1497"/>
        <item x="78"/>
        <item x="1751"/>
        <item x="2070"/>
        <item x="883"/>
        <item sd="0" x="3470"/>
        <item sd="0" x="3744"/>
        <item x="109"/>
        <item x="830"/>
        <item x="2136"/>
        <item sd="0" x="520"/>
        <item x="1831"/>
        <item sd="0" x="3525"/>
        <item sd="0" x="460"/>
        <item sd="0" x="3336"/>
        <item sd="0" x="3735"/>
        <item x="1414"/>
        <item x="1033"/>
        <item sd="0" x="4099"/>
        <item x="2551"/>
        <item sd="0" x="3821"/>
        <item x="995"/>
        <item sd="0" x="3896"/>
        <item sd="0" x="458"/>
        <item x="817"/>
        <item x="1376"/>
        <item x="793"/>
        <item x="2159"/>
        <item x="102"/>
        <item sd="0" x="3683"/>
        <item x="1759"/>
        <item x="1847"/>
        <item x="823"/>
        <item x="1693"/>
        <item sd="0" x="2199"/>
        <item x="3047"/>
        <item x="682"/>
        <item sd="0" x="3190"/>
        <item x="39"/>
        <item sd="0" x="4076"/>
        <item sd="0" x="4032"/>
        <item x="1898"/>
        <item x="247"/>
        <item x="2154"/>
        <item x="133"/>
        <item x="891"/>
        <item x="118"/>
        <item x="836"/>
        <item x="194"/>
        <item x="3087"/>
        <item x="1508"/>
        <item sd="0" x="3166"/>
        <item x="1210"/>
        <item sd="0" x="528"/>
        <item x="541"/>
        <item x="313"/>
        <item x="1566"/>
        <item sd="0" x="426"/>
        <item x="55"/>
        <item sd="0" x="2904"/>
        <item sd="0" x="2240"/>
        <item sd="0" x="2221"/>
        <item x="149"/>
        <item sd="0" x="3291"/>
        <item sd="0" x="3500"/>
        <item x="1724"/>
        <item x="1426"/>
        <item sd="0" x="3469"/>
        <item x="1065"/>
        <item x="71"/>
        <item x="2724"/>
        <item x="596"/>
        <item x="1417"/>
        <item sd="0" x="1298"/>
        <item x="2312"/>
        <item x="753"/>
        <item x="1835"/>
        <item x="765"/>
        <item x="1124"/>
        <item sd="0" x="446"/>
        <item x="1791"/>
        <item sd="0" x="444"/>
        <item x="298"/>
        <item x="2354"/>
        <item sd="0" x="4059"/>
        <item x="2678"/>
        <item x="1071"/>
        <item x="281"/>
        <item x="272"/>
        <item x="1679"/>
        <item x="2126"/>
        <item sd="0" x="3872"/>
        <item sd="0" x="2968"/>
        <item sd="0" x="3682"/>
        <item sd="0" x="3675"/>
        <item sd="0" x="3697"/>
        <item x="812"/>
        <item x="1528"/>
        <item x="604"/>
        <item x="771"/>
        <item x="761"/>
        <item x="2696"/>
        <item x="2340"/>
        <item sd="0" x="3738"/>
        <item sd="0" x="3318"/>
        <item x="560"/>
        <item x="1481"/>
        <item sd="0" x="3941"/>
        <item x="2212"/>
        <item sd="0" x="3868"/>
        <item x="2652"/>
        <item x="1598"/>
        <item sd="0" x="450"/>
        <item sd="0" x="2938"/>
        <item sd="0" x="469"/>
        <item sd="0" x="3871"/>
        <item x="706"/>
        <item x="49"/>
        <item x="1123"/>
        <item sd="0" x="424"/>
        <item x="2581"/>
        <item x="957"/>
        <item x="1776"/>
        <item x="666"/>
        <item x="2509"/>
        <item sd="0" x="3768"/>
        <item sd="0" x="3790"/>
        <item sd="0" x="2793"/>
        <item x="2752"/>
        <item x="402"/>
        <item x="1256"/>
        <item x="1749"/>
        <item sd="0" x="3605"/>
        <item x="2076"/>
        <item x="110"/>
        <item x="2612"/>
        <item x="2071"/>
        <item x="565"/>
        <item x="737"/>
        <item x="630"/>
        <item sd="0" x="3184"/>
        <item x="328"/>
        <item x="1746"/>
        <item x="319"/>
        <item sd="0" x="3411"/>
        <item sd="0" x="3267"/>
        <item sd="0" x="2852"/>
        <item x="2085"/>
        <item x="1217"/>
        <item x="2479"/>
        <item x="1179"/>
        <item sd="0" x="3834"/>
        <item x="2591"/>
        <item sd="0" x="3301"/>
        <item x="703"/>
        <item x="178"/>
        <item x="1017"/>
        <item x="752"/>
        <item sd="0" x="3728"/>
        <item sd="0" x="2916"/>
        <item x="2314"/>
        <item x="1633"/>
        <item x="986"/>
        <item x="1946"/>
        <item sd="0" x="3194"/>
        <item x="1854"/>
        <item x="2463"/>
        <item x="1167"/>
        <item sd="0" x="3252"/>
        <item sd="0" x="2185"/>
        <item x="261"/>
        <item x="586"/>
        <item x="2598"/>
        <item x="730"/>
        <item sd="0" x="3931"/>
        <item sd="0" x="3180"/>
        <item x="1421"/>
        <item sd="0" x="1291"/>
        <item sd="0" x="3937"/>
        <item sd="0" x="2862"/>
        <item x="2616"/>
        <item sd="0" x="3183"/>
        <item sd="0" x="481"/>
        <item x="798"/>
        <item sd="0" x="3202"/>
        <item x="306"/>
        <item x="260"/>
        <item x="1430"/>
        <item x="2389"/>
        <item sd="0" x="2278"/>
        <item x="1987"/>
        <item x="92"/>
        <item sd="0" x="525"/>
        <item x="1825"/>
        <item x="2556"/>
        <item sd="0" x="2799"/>
        <item x="60"/>
        <item sd="0" x="3618"/>
        <item x="577"/>
        <item x="2584"/>
        <item sd="0" x="3628"/>
        <item x="1410"/>
        <item x="1444"/>
        <item x="773"/>
        <item sd="0" x="3710"/>
        <item x="1563"/>
        <item x="929"/>
        <item x="2015"/>
        <item x="1515"/>
        <item sd="0" x="3218"/>
        <item sd="0" x="3809"/>
        <item x="2346"/>
        <item x="950"/>
        <item x="602"/>
        <item sd="0" x="3203"/>
        <item x="3066"/>
        <item sd="0" x="3527"/>
        <item x="1537"/>
        <item x="1580"/>
        <item x="1212"/>
        <item x="228"/>
        <item sd="0" x="3792"/>
        <item sd="0" x="2911"/>
        <item x="572"/>
        <item x="360"/>
        <item x="2521"/>
        <item sd="0" x="3321"/>
        <item x="169"/>
        <item x="1387"/>
        <item x="1"/>
        <item sd="0" x="3978"/>
        <item sd="0" x="3528"/>
        <item x="248"/>
        <item x="1089"/>
        <item sd="0" x="3832"/>
        <item x="231"/>
        <item x="1321"/>
        <item x="1003"/>
        <item x="1864"/>
        <item x="2694"/>
        <item sd="0" x="2965"/>
        <item sd="0" x="447"/>
        <item x="1067"/>
        <item sd="0" x="3670"/>
        <item sd="0" x="3160"/>
        <item x="544"/>
        <item x="2423"/>
        <item sd="0" x="3577"/>
        <item x="186"/>
        <item sd="0" x="3818"/>
        <item x="1369"/>
        <item x="310"/>
        <item sd="0" x="3497"/>
        <item sd="0" x="3860"/>
        <item x="1438"/>
        <item x="2216"/>
        <item sd="0" x="3932"/>
        <item sd="0" x="3950"/>
        <item sd="0" x="2785"/>
        <item x="1687"/>
        <item x="235"/>
        <item x="1810"/>
        <item x="2520"/>
        <item x="239"/>
        <item x="1063"/>
        <item sd="0" x="3911"/>
        <item sd="0"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sd="0" x="3241"/>
        <item sd="0" x="3901"/>
        <item x="931"/>
        <item x="923"/>
        <item x="2704"/>
        <item x="2012"/>
        <item sd="0" x="2795"/>
        <item x="1326"/>
        <item sd="0" x="3479"/>
        <item x="1271"/>
        <item sd="0" x="3976"/>
        <item x="2377"/>
        <item x="2011"/>
        <item x="1689"/>
        <item x="1128"/>
        <item x="871"/>
        <item x="1448"/>
        <item sd="0" x="3982"/>
        <item x="1583"/>
        <item x="243"/>
        <item x="2425"/>
        <item x="1370"/>
        <item x="2594"/>
        <item x="1154"/>
        <item x="2412"/>
        <item x="2438"/>
        <item sd="0" x="3459"/>
        <item sd="0" x="2920"/>
        <item sd="0" x="3973"/>
        <item x="1412"/>
        <item sd="0" x="2247"/>
        <item sd="0" x="2929"/>
        <item x="1005"/>
        <item x="533"/>
        <item x="157"/>
        <item x="320"/>
        <item sd="0" x="4016"/>
        <item sd="0" x="3992"/>
        <item sd="0" x="1303"/>
        <item x="898"/>
        <item sd="0" x="3925"/>
        <item x="1267"/>
        <item x="2180"/>
        <item x="1214"/>
        <item sd="0" x="1284"/>
        <item x="1169"/>
        <item sd="0" x="3553"/>
        <item sd="0" x="2851"/>
        <item x="1957"/>
        <item sd="0" x="2934"/>
        <item x="2434"/>
        <item sd="0" x="3338"/>
        <item x="1183"/>
        <item x="318"/>
        <item sd="0" x="2864"/>
        <item sd="0" x="3960"/>
        <item x="1820"/>
        <item x="1851"/>
        <item x="2753"/>
        <item sd="0" x="3332"/>
        <item x="1542"/>
        <item sd="0" x="3363"/>
        <item x="400"/>
        <item x="844"/>
        <item x="2576"/>
        <item x="2478"/>
        <item x="1268"/>
        <item x="783"/>
        <item x="3107"/>
        <item sd="0" x="3785"/>
        <item sd="0" x="3650"/>
        <item x="3051"/>
        <item x="2432"/>
        <item x="117"/>
        <item x="1111"/>
        <item x="881"/>
        <item x="1177"/>
        <item x="1122"/>
        <item sd="0" x="3415"/>
        <item x="1947"/>
        <item x="1316"/>
        <item x="2669"/>
        <item x="1861"/>
        <item sd="0" x="2897"/>
        <item sd="0" x="497"/>
        <item sd="0" x="3572"/>
        <item x="367"/>
        <item x="2393"/>
        <item x="1126"/>
        <item x="2066"/>
        <item x="3117"/>
        <item x="975"/>
        <item x="642"/>
        <item sd="0" x="2857"/>
        <item x="1927"/>
        <item x="1937"/>
        <item x="2096"/>
        <item x="2100"/>
        <item sd="0" x="3965"/>
        <item x="858"/>
        <item x="1532"/>
        <item x="1706"/>
        <item x="1408"/>
        <item sd="0" x="3696"/>
        <item x="2470"/>
        <item x="286"/>
        <item sd="0" x="3478"/>
        <item sd="0" x="3817"/>
        <item sd="0" x="3839"/>
        <item sd="0" x="2273"/>
        <item x="617"/>
        <item sd="0" x="3579"/>
        <item x="2087"/>
        <item sd="0" x="3289"/>
        <item x="589"/>
        <item x="1609"/>
        <item x="1844"/>
        <item sd="0" x="3225"/>
        <item x="1692"/>
        <item sd="0" x="2861"/>
        <item sd="0" x="3297"/>
        <item sd="0" x="2902"/>
        <item sd="0" x="3746"/>
        <item x="1663"/>
        <item sd="0" x="3964"/>
        <item x="1388"/>
        <item x="2607"/>
        <item sd="0" x="3540"/>
        <item sd="0" x="2276"/>
        <item x="2664"/>
        <item x="2990"/>
        <item x="888"/>
        <item x="0"/>
        <item sd="0" x="2878"/>
        <item sd="0" x="3773"/>
        <item x="1845"/>
        <item x="1818"/>
        <item x="1174"/>
        <item x="1884"/>
        <item x="1821"/>
        <item x="1340"/>
        <item sd="0" x="3179"/>
        <item x="108"/>
        <item sd="0" x="4039"/>
        <item x="1416"/>
        <item sd="0" x="470"/>
        <item x="58"/>
        <item x="3079"/>
        <item x="740"/>
        <item x="708"/>
        <item x="411"/>
        <item sd="0" x="3276"/>
        <item x="592"/>
        <item x="598"/>
        <item sd="0" x="2266"/>
        <item x="848"/>
        <item sd="0" x="3587"/>
        <item sd="0" x="3384"/>
        <item x="3065"/>
        <item x="806"/>
        <item x="1630"/>
        <item sd="0" x="3673"/>
        <item x="964"/>
        <item x="104"/>
        <item sd="0" x="3555"/>
        <item sd="0" x="4053"/>
        <item x="2714"/>
        <item x="252"/>
        <item sd="0" x="2794"/>
        <item x="317"/>
        <item x="1191"/>
        <item sd="0" x="3278"/>
        <item sd="0" x="3222"/>
        <item x="1684"/>
        <item x="175"/>
        <item sd="0" x="3381"/>
        <item sd="0" x="3486"/>
        <item x="1312"/>
        <item x="95"/>
        <item x="2326"/>
        <item x="1664"/>
        <item sd="0" x="3859"/>
        <item x="307"/>
        <item x="1941"/>
        <item x="1936"/>
        <item x="2460"/>
        <item sd="0" x="2961"/>
        <item x="2419"/>
        <item sd="0" x="2254"/>
        <item sd="0" x="3567"/>
        <item x="399"/>
        <item x="282"/>
        <item sd="0" x="3279"/>
        <item x="907"/>
        <item x="1403"/>
        <item x="2555"/>
        <item x="1181"/>
        <item x="3028"/>
        <item sd="0" x="2858"/>
        <item x="554"/>
        <item sd="0" x="3438"/>
        <item sd="0" x="3542"/>
        <item x="2943"/>
        <item sd="0" x="491"/>
        <item x="3029"/>
        <item sd="0" x="3140"/>
        <item sd="0" x="3360"/>
        <item sd="0" x="2844"/>
        <item x="240"/>
        <item x="583"/>
        <item x="2663"/>
        <item x="1833"/>
        <item x="2503"/>
        <item x="2329"/>
        <item sd="0" x="2888"/>
        <item x="1012"/>
        <item x="1397"/>
        <item x="2296"/>
        <item x="1809"/>
        <item sd="0" x="3853"/>
        <item sd="0" x="3417"/>
        <item x="719"/>
        <item x="2151"/>
        <item x="2305"/>
        <item x="1785"/>
        <item x="540"/>
        <item sd="0" x="3782"/>
        <item sd="0" x="2797"/>
        <item sd="0" x="427"/>
        <item sd="0" x="3910"/>
        <item x="896"/>
        <item x="2356"/>
        <item x="242"/>
        <item x="1156"/>
        <item sd="0" x="4006"/>
        <item x="213"/>
        <item sd="0" x="479"/>
        <item x="1160"/>
        <item x="710"/>
        <item x="910"/>
        <item x="407"/>
        <item x="2143"/>
        <item x="942"/>
        <item sd="0" x="3989"/>
        <item x="917"/>
        <item sd="0" x="3869"/>
        <item x="1737"/>
        <item sd="0" x="3227"/>
        <item x="1455"/>
        <item x="2120"/>
        <item x="1959"/>
        <item x="1304"/>
        <item x="1524"/>
        <item sd="0" x="3592"/>
        <item sd="0" x="3188"/>
        <item sd="0" x="3761"/>
        <item x="2643"/>
        <item sd="0" x="3132"/>
        <item x="2770"/>
        <item x="65"/>
        <item x="1425"/>
        <item sd="0" x="1294"/>
        <item x="2689"/>
        <item x="2414"/>
        <item x="2994"/>
        <item x="2472"/>
        <item sd="0" x="1302"/>
        <item sd="0" x="3372"/>
        <item x="1868"/>
        <item x="2599"/>
        <item x="2506"/>
        <item x="1239"/>
        <item x="2462"/>
        <item x="2362"/>
        <item sd="0" x="3778"/>
        <item x="1259"/>
        <item x="2299"/>
        <item x="816"/>
        <item x="864"/>
        <item sd="0"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sd="0" x="3820"/>
        <item x="1670"/>
        <item sd="0" x="3995"/>
        <item x="3096"/>
        <item x="745"/>
        <item x="1923"/>
        <item x="1158"/>
        <item x="1894"/>
        <item x="2485"/>
        <item sd="0" x="3198"/>
        <item x="2163"/>
        <item x="1383"/>
        <item x="1277"/>
        <item x="814"/>
        <item x="3026"/>
        <item sd="0" x="3920"/>
        <item x="3060"/>
        <item sd="0" x="4060"/>
        <item x="3036"/>
        <item x="1245"/>
        <item x="2422"/>
        <item x="1685"/>
        <item sd="0" x="3288"/>
        <item x="1839"/>
        <item x="1828"/>
        <item x="908"/>
        <item x="193"/>
        <item x="788"/>
        <item sd="0" x="2789"/>
        <item x="810"/>
        <item x="2940"/>
        <item x="3126"/>
        <item sd="0" x="4057"/>
        <item x="2367"/>
        <item x="2672"/>
        <item x="2634"/>
        <item x="1830"/>
        <item x="3080"/>
        <item x="1546"/>
        <item sd="0" x="3254"/>
        <item sd="0" x="2784"/>
        <item x="2072"/>
        <item sd="0" x="2913"/>
        <item x="1895"/>
        <item x="2603"/>
        <item sd="0" x="2261"/>
        <item sd="0" x="508"/>
        <item sd="0" x="3135"/>
        <item x="1269"/>
        <item x="1457"/>
        <item x="824"/>
        <item sd="0" x="2812"/>
        <item x="1511"/>
        <item sd="0" x="2841"/>
        <item x="978"/>
        <item x="1672"/>
        <item x="2985"/>
        <item x="763"/>
        <item x="3109"/>
        <item sd="0" x="3980"/>
        <item sd="0" x="3611"/>
        <item x="2601"/>
        <item x="2606"/>
        <item x="1940"/>
        <item x="1180"/>
        <item x="370"/>
        <item x="1506"/>
        <item x="2172"/>
        <item x="2699"/>
        <item sd="0" x="3424"/>
        <item x="2532"/>
        <item x="1857"/>
        <item sd="0" x="3576"/>
        <item sd="0" x="3831"/>
        <item sd="0" x="3185"/>
        <item sd="0" x="3247"/>
        <item sd="0" x="3646"/>
        <item x="2743"/>
        <item sd="0" x="517"/>
        <item sd="0" x="3231"/>
        <item x="3041"/>
        <item x="1848"/>
        <item x="2557"/>
        <item x="673"/>
        <item x="2421"/>
        <item sd="0" x="3732"/>
        <item x="911"/>
        <item x="1131"/>
        <item x="701"/>
        <item x="2078"/>
        <item x="1350"/>
        <item x="1367"/>
        <item x="2709"/>
        <item sd="0" x="2893"/>
        <item x="2745"/>
        <item x="2761"/>
        <item x="675"/>
        <item x="258"/>
        <item sd="0" x="3559"/>
        <item sd="0" x="4050"/>
        <item sd="0" x="3722"/>
        <item x="2350"/>
        <item sd="0" x="3895"/>
        <item x="2050"/>
        <item x="1783"/>
        <item x="2140"/>
        <item x="127"/>
        <item sd="0" x="3524"/>
        <item x="17"/>
        <item x="2217"/>
        <item sd="0" x="2847"/>
        <item x="1707"/>
        <item x="707"/>
        <item x="1841"/>
        <item x="2016"/>
        <item x="1328"/>
        <item x="2701"/>
        <item sd="0" x="477"/>
        <item x="131"/>
        <item x="174"/>
        <item sd="0" x="3303"/>
        <item x="1486"/>
        <item sd="0" x="1290"/>
        <item sd="0" x="3178"/>
        <item sd="0" x="3776"/>
        <item sd="0" x="3852"/>
        <item x="2417"/>
        <item x="1761"/>
        <item x="962"/>
        <item x="1698"/>
        <item sd="0" x="514"/>
        <item x="103"/>
        <item x="2317"/>
        <item x="96"/>
        <item x="966"/>
        <item x="1213"/>
        <item sd="0" x="3386"/>
        <item x="2366"/>
        <item x="2218"/>
        <item x="1087"/>
        <item x="1465"/>
        <item sd="0" x="3642"/>
        <item sd="0" x="3659"/>
        <item x="2679"/>
        <item x="2390"/>
        <item x="993"/>
        <item sd="0" x="2881"/>
        <item x="33"/>
        <item sd="0" x="2964"/>
        <item x="2365"/>
        <item x="181"/>
        <item sd="0" x="3554"/>
        <item x="2034"/>
        <item sd="0" x="3927"/>
        <item x="3045"/>
        <item x="928"/>
        <item x="1045"/>
        <item x="287"/>
        <item sd="0" x="438"/>
        <item x="85"/>
        <item x="1736"/>
        <item x="230"/>
        <item sd="0" x="2815"/>
        <item x="274"/>
        <item x="754"/>
        <item x="158"/>
        <item sd="0" x="3512"/>
        <item sd="0" x="4034"/>
        <item x="2104"/>
        <item sd="0" x="3955"/>
        <item x="101"/>
        <item x="1216"/>
        <item x="949"/>
        <item sd="0" x="2979"/>
        <item x="199"/>
        <item x="2558"/>
        <item x="18"/>
        <item sd="0" x="509"/>
        <item x="1447"/>
        <item x="1041"/>
        <item sd="0" x="3324"/>
        <item x="1966"/>
        <item sd="0"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sd="0" x="3987"/>
        <item x="1926"/>
        <item x="1886"/>
        <item x="1201"/>
        <item x="1322"/>
        <item x="215"/>
        <item sd="0"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sd="0" x="3662"/>
        <item x="1209"/>
        <item x="2632"/>
        <item x="1507"/>
        <item sd="0" x="3708"/>
        <item x="1550"/>
        <item x="828"/>
        <item x="2767"/>
        <item x="2430"/>
        <item x="2153"/>
        <item x="875"/>
        <item x="1446"/>
        <item x="1207"/>
        <item sd="0" x="2939"/>
        <item sd="0" x="3326"/>
        <item x="1170"/>
        <item x="2547"/>
        <item x="1182"/>
        <item sd="0" x="3456"/>
        <item x="1379"/>
        <item x="1049"/>
        <item sd="0" x="3789"/>
        <item x="1251"/>
        <item sd="0" x="4102"/>
        <item x="2000"/>
        <item x="650"/>
        <item x="2561"/>
        <item x="2765"/>
        <item sd="0" x="453"/>
        <item x="2615"/>
        <item x="47"/>
        <item x="410"/>
        <item x="1618"/>
        <item x="79"/>
        <item x="1656"/>
        <item sd="0" x="3689"/>
        <item x="1278"/>
        <item x="3039"/>
        <item x="1647"/>
        <item x="980"/>
        <item x="860"/>
        <item x="919"/>
        <item x="905"/>
        <item x="936"/>
        <item sd="0" x="3353"/>
        <item x="2322"/>
        <item x="2524"/>
        <item x="1843"/>
        <item sd="0" x="3627"/>
        <item sd="0" x="3485"/>
        <item x="1704"/>
        <item x="2466"/>
        <item sd="0" x="3328"/>
        <item x="1519"/>
        <item x="927"/>
        <item x="2002"/>
        <item x="795"/>
        <item sd="0" x="503"/>
        <item x="916"/>
        <item sd="0" x="493"/>
        <item sd="0" x="3410"/>
        <item sd="0"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sd="0"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sd="0" x="2860"/>
        <item sd="0" x="4068"/>
        <item sd="0" x="2255"/>
        <item x="1336"/>
        <item x="767"/>
        <item sd="0" x="4004"/>
        <item x="2682"/>
        <item x="1755"/>
        <item x="129"/>
        <item x="1720"/>
        <item x="878"/>
        <item x="1310"/>
        <item sd="0" x="2843"/>
        <item sd="0" x="3148"/>
        <item x="960"/>
        <item x="2613"/>
        <item sd="0" x="3263"/>
        <item x="1076"/>
        <item x="1193"/>
        <item x="1885"/>
        <item x="3010"/>
        <item x="1185"/>
        <item sd="0" x="2922"/>
        <item sd="0" x="2937"/>
        <item x="1477"/>
        <item x="324"/>
        <item sd="0" x="3259"/>
        <item x="2283"/>
        <item x="2300"/>
        <item x="1782"/>
        <item x="2378"/>
        <item x="2518"/>
        <item x="1796"/>
        <item x="636"/>
        <item x="1644"/>
        <item x="549"/>
        <item sd="0" x="3607"/>
        <item x="2009"/>
        <item x="1366"/>
        <item sd="0"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sd="0" x="3208"/>
        <item sd="0" x="3339"/>
        <item x="2141"/>
        <item sd="0" x="3471"/>
        <item sd="0" x="2231"/>
        <item x="1074"/>
        <item x="205"/>
        <item x="1460"/>
        <item sd="0" x="3436"/>
        <item x="974"/>
        <item sd="0" x="3898"/>
        <item x="2047"/>
        <item x="52"/>
        <item x="280"/>
        <item x="2327"/>
        <item x="2725"/>
        <item x="1661"/>
        <item x="934"/>
        <item sd="0" x="3667"/>
        <item x="2036"/>
        <item x="2592"/>
        <item sd="0" x="4092"/>
        <item x="114"/>
        <item x="74"/>
        <item x="268"/>
        <item x="220"/>
        <item sd="0" x="2196"/>
        <item x="1544"/>
        <item sd="0" x="3716"/>
        <item x="184"/>
        <item sd="0" x="2834"/>
        <item x="548"/>
        <item x="3095"/>
        <item x="2544"/>
        <item x="322"/>
        <item x="1038"/>
        <item x="2137"/>
        <item x="1578"/>
        <item sd="0" x="2186"/>
        <item sd="0" x="3729"/>
        <item sd="0" x="3258"/>
        <item x="2600"/>
        <item x="2116"/>
        <item x="2368"/>
        <item x="2105"/>
        <item x="1856"/>
        <item sd="0" x="433"/>
        <item x="1413"/>
        <item x="2165"/>
        <item sd="0" x="2873"/>
        <item sd="0" x="2969"/>
        <item x="2760"/>
        <item x="246"/>
        <item x="1919"/>
        <item x="948"/>
        <item x="1001"/>
        <item x="1932"/>
        <item x="2121"/>
        <item x="224"/>
        <item x="1077"/>
        <item sd="0" x="2192"/>
        <item x="2361"/>
        <item sd="0" x="3664"/>
        <item x="1037"/>
        <item x="3040"/>
        <item x="1735"/>
        <item x="253"/>
        <item x="2523"/>
        <item sd="0" x="2921"/>
        <item x="2205"/>
        <item x="831"/>
        <item x="3058"/>
        <item x="3015"/>
        <item x="1172"/>
        <item x="2951"/>
        <item sd="0"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sd="0" x="3400"/>
        <item sd="0" x="3385"/>
        <item x="1813"/>
        <item sd="0" x="3571"/>
        <item sd="0"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sd="0" x="2184"/>
        <item x="1459"/>
        <item x="210"/>
        <item x="3042"/>
        <item x="2424"/>
        <item sd="0" x="4020"/>
        <item x="1891"/>
        <item x="585"/>
        <item x="2031"/>
        <item x="1339"/>
        <item x="1234"/>
        <item x="1031"/>
        <item sd="0" x="2890"/>
        <item x="1907"/>
        <item sd="0" x="428"/>
        <item sd="0" x="2230"/>
        <item sd="0" x="459"/>
        <item x="2089"/>
        <item sd="0" x="2906"/>
        <item x="1909"/>
        <item x="2703"/>
        <item sd="0" x="3749"/>
        <item x="1889"/>
        <item x="1585"/>
        <item sd="0" x="4087"/>
        <item x="869"/>
        <item x="1793"/>
        <item x="331"/>
        <item x="2578"/>
        <item sd="0" x="3676"/>
        <item x="2415"/>
        <item sd="0" x="3429"/>
        <item sd="0" x="3550"/>
        <item x="2049"/>
        <item x="1002"/>
        <item x="2510"/>
        <item x="1091"/>
        <item x="2413"/>
        <item x="1982"/>
        <item sd="0" x="3217"/>
        <item x="1682"/>
        <item sd="0" x="4088"/>
        <item sd="0" x="3396"/>
        <item x="1317"/>
        <item sd="0" x="2856"/>
        <item x="827"/>
        <item sd="0" x="452"/>
        <item x="106"/>
        <item sd="0" x="2871"/>
        <item sd="0" x="3430"/>
        <item x="326"/>
        <item sd="0" x="3447"/>
        <item x="1984"/>
        <item x="811"/>
        <item x="1750"/>
        <item sd="0" x="3315"/>
        <item sd="0" x="4001"/>
        <item x="1640"/>
        <item x="2020"/>
        <item x="1922"/>
        <item x="2738"/>
        <item x="1318"/>
        <item x="1558"/>
        <item sd="0"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sd="0" x="519"/>
        <item x="2021"/>
        <item x="851"/>
        <item x="207"/>
        <item sd="0" x="2223"/>
        <item sd="0" x="3769"/>
        <item x="2687"/>
        <item sd="0" x="3265"/>
        <item sd="0" x="2859"/>
        <item sd="0" x="3482"/>
        <item x="1906"/>
        <item sd="0" x="461"/>
        <item x="1646"/>
        <item sd="0" x="3842"/>
        <item x="559"/>
        <item sd="0" x="3889"/>
        <item x="2577"/>
        <item x="796"/>
        <item x="2325"/>
        <item x="226"/>
        <item sd="0" x="3422"/>
        <item x="2589"/>
        <item x="1933"/>
        <item x="2746"/>
        <item x="3081"/>
        <item x="1930"/>
        <item sd="0" x="3521"/>
        <item sd="0" x="2931"/>
        <item x="787"/>
        <item x="2006"/>
        <item x="599"/>
        <item x="2128"/>
        <item sd="0" x="3767"/>
        <item x="969"/>
        <item x="2284"/>
        <item sd="0" x="2818"/>
        <item x="3077"/>
        <item x="314"/>
        <item x="237"/>
        <item sd="0" x="3361"/>
        <item x="1279"/>
        <item x="1386"/>
        <item sd="0" x="3997"/>
        <item sd="0" x="3319"/>
        <item sd="0" x="3959"/>
        <item sd="0" x="3717"/>
        <item x="1449"/>
        <item sd="0" x="3496"/>
        <item x="2565"/>
        <item x="1406"/>
        <item sd="0" x="2271"/>
        <item x="932"/>
        <item x="1683"/>
        <item x="2602"/>
        <item x="1384"/>
        <item x="2139"/>
        <item x="1568"/>
        <item sd="0" x="3128"/>
        <item x="2777"/>
        <item x="188"/>
        <item sd="0" x="3840"/>
        <item x="2534"/>
        <item sd="0" x="3726"/>
        <item x="555"/>
        <item x="134"/>
        <item x="2618"/>
        <item sd="0" x="3756"/>
        <item sd="0" x="3865"/>
        <item x="2311"/>
        <item sd="0" x="3632"/>
        <item x="2641"/>
        <item sd="0" x="3552"/>
        <item x="968"/>
        <item x="1673"/>
        <item x="2569"/>
        <item x="1866"/>
        <item x="1249"/>
        <item x="2103"/>
        <item x="2674"/>
        <item sd="0" x="3299"/>
        <item x="1603"/>
        <item x="2728"/>
        <item sd="0" x="2270"/>
        <item x="1361"/>
        <item x="2537"/>
        <item sd="0" x="3325"/>
        <item x="2331"/>
        <item sd="0" x="3476"/>
        <item sd="0" x="3347"/>
        <item x="2429"/>
        <item sd="0" x="2227"/>
        <item sd="0" x="3129"/>
        <item x="2142"/>
        <item x="1140"/>
        <item x="1117"/>
        <item x="748"/>
        <item sd="0" x="4094"/>
        <item x="1655"/>
        <item x="2722"/>
        <item sd="0" x="3312"/>
        <item sd="0" x="3172"/>
        <item sd="0" x="3775"/>
        <item x="1867"/>
        <item sd="0" x="3671"/>
        <item x="766"/>
        <item sd="0" x="4009"/>
        <item sd="0" x="3586"/>
        <item sd="0" x="3877"/>
        <item x="1729"/>
        <item x="1240"/>
        <item sd="0" x="4035"/>
        <item x="1719"/>
        <item x="1985"/>
        <item x="2418"/>
        <item x="920"/>
        <item x="1662"/>
        <item x="1846"/>
        <item x="1054"/>
        <item x="1401"/>
        <item x="867"/>
        <item sd="0" x="2825"/>
        <item x="1008"/>
        <item x="121"/>
        <item x="136"/>
        <item x="2026"/>
        <item x="161"/>
        <item x="1712"/>
        <item sd="0" x="3484"/>
        <item sd="0" x="3322"/>
        <item x="1876"/>
        <item x="2176"/>
        <item x="2473"/>
        <item x="1204"/>
        <item x="64"/>
        <item x="2651"/>
        <item sd="0" x="3721"/>
        <item x="2364"/>
        <item x="695"/>
        <item sd="0" x="2235"/>
        <item sd="0" x="3906"/>
        <item sd="0" x="4007"/>
        <item x="3043"/>
        <item x="569"/>
        <item x="1903"/>
        <item sd="0" x="3393"/>
        <item x="1176"/>
        <item sd="0" x="2925"/>
        <item sd="0" x="3196"/>
        <item x="608"/>
        <item sd="0" x="1295"/>
        <item sd="0"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sd="0" x="3251"/>
        <item x="1200"/>
        <item x="1958"/>
        <item x="2219"/>
        <item x="1816"/>
        <item x="403"/>
        <item x="829"/>
        <item x="679"/>
        <item sd="0" x="3570"/>
        <item sd="0" x="2194"/>
        <item sd="0" x="2237"/>
        <item x="3008"/>
        <item sd="0" x="3364"/>
        <item sd="0" x="3402"/>
        <item x="2294"/>
        <item sd="0" x="3970"/>
        <item x="2653"/>
        <item sd="0" x="3548"/>
        <item x="2655"/>
        <item x="69"/>
        <item x="392"/>
        <item x="2515"/>
        <item sd="0" x="3961"/>
        <item x="887"/>
        <item x="156"/>
        <item sd="0" x="3687"/>
        <item sd="0" x="3645"/>
        <item x="257"/>
        <item x="656"/>
        <item x="1855"/>
        <item x="2493"/>
        <item sd="0" x="4055"/>
        <item x="3100"/>
        <item x="2338"/>
        <item x="715"/>
        <item x="663"/>
        <item x="2688"/>
        <item sd="0" x="3212"/>
        <item x="168"/>
        <item x="2550"/>
        <item sd="0" x="3930"/>
        <item x="350"/>
        <item x="1276"/>
        <item sd="0" x="3654"/>
        <item sd="0" x="3918"/>
        <item x="2740"/>
        <item sd="0" x="2819"/>
        <item sd="0" x="3704"/>
        <item sd="0" x="536"/>
        <item x="1775"/>
        <item x="2727"/>
        <item sd="0" x="2828"/>
        <item x="2686"/>
        <item x="2431"/>
        <item sd="0" x="2820"/>
        <item sd="0" x="2927"/>
        <item x="1651"/>
        <item x="1258"/>
        <item x="2698"/>
        <item x="2749"/>
        <item x="2762"/>
        <item sd="0" x="3296"/>
        <item x="1814"/>
        <item x="305"/>
        <item sd="0" x="3841"/>
        <item x="1407"/>
        <item x="1084"/>
        <item sd="0" x="3639"/>
        <item sd="0" x="3888"/>
        <item sd="0" x="3876"/>
        <item x="1334"/>
        <item sd="0" x="505"/>
        <item x="595"/>
        <item x="1365"/>
        <item x="2776"/>
        <item x="3124"/>
        <item x="1272"/>
        <item x="1196"/>
        <item sd="0" x="2829"/>
        <item x="397"/>
        <item x="2684"/>
        <item x="2146"/>
        <item x="1488"/>
        <item sd="0"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sd="0" x="3956"/>
        <item x="46"/>
        <item x="1078"/>
        <item x="874"/>
        <item x="2496"/>
        <item x="1931"/>
        <item x="1134"/>
        <item x="335"/>
        <item x="1390"/>
        <item x="1607"/>
        <item x="1263"/>
        <item sd="0" x="3419"/>
        <item x="1690"/>
        <item sd="0" x="4022"/>
        <item sd="0" x="3532"/>
        <item x="1105"/>
        <item x="2082"/>
        <item x="2157"/>
        <item x="198"/>
        <item x="1402"/>
        <item x="2448"/>
        <item x="1952"/>
        <item x="396"/>
        <item sd="0" x="1289"/>
        <item x="1804"/>
        <item sd="0" x="2905"/>
        <item sd="0" x="3777"/>
        <item x="358"/>
        <item x="2177"/>
        <item x="1137"/>
        <item x="685"/>
        <item x="2705"/>
        <item x="1559"/>
        <item x="1349"/>
        <item sd="0" x="4036"/>
        <item sd="0" x="3281"/>
        <item sd="0" x="3491"/>
        <item sd="0" x="3200"/>
        <item x="1280"/>
        <item x="3093"/>
        <item x="1173"/>
        <item x="1051"/>
        <item sd="0" x="3985"/>
        <item x="1953"/>
        <item sd="0" x="3351"/>
        <item x="2001"/>
        <item x="384"/>
        <item sd="0" x="3157"/>
        <item x="2209"/>
        <item x="236"/>
        <item x="2351"/>
        <item sd="0" x="4043"/>
        <item x="1786"/>
        <item x="2320"/>
        <item x="2668"/>
        <item sd="0" x="3186"/>
        <item x="1986"/>
        <item x="2039"/>
        <item sd="0" x="2189"/>
        <item x="1629"/>
        <item x="1377"/>
        <item x="1754"/>
        <item x="1221"/>
        <item sd="0" x="4065"/>
        <item x="2529"/>
        <item x="1765"/>
        <item x="2450"/>
        <item sd="0" x="3293"/>
        <item sd="0" x="3480"/>
        <item x="208"/>
        <item x="998"/>
        <item sd="0" x="527"/>
        <item x="832"/>
        <item x="946"/>
        <item x="387"/>
        <item x="1453"/>
        <item sd="0" x="3450"/>
        <item x="1803"/>
        <item sd="0" x="2796"/>
        <item x="1132"/>
        <item sd="0" x="2962"/>
        <item sd="0" x="3614"/>
        <item x="1473"/>
        <item x="777"/>
        <item sd="0" x="3624"/>
        <item sd="0" x="3356"/>
        <item x="1136"/>
        <item x="2732"/>
        <item x="2953"/>
        <item x="2357"/>
        <item sd="0" x="3365"/>
        <item x="3005"/>
        <item x="1993"/>
        <item x="770"/>
        <item sd="0" x="3736"/>
        <item sd="0" x="3246"/>
        <item x="2045"/>
        <item x="2735"/>
        <item x="3057"/>
        <item x="2671"/>
        <item x="2035"/>
        <item x="1767"/>
        <item sd="0" x="3266"/>
        <item sd="0" x="2786"/>
        <item x="664"/>
        <item x="1600"/>
        <item x="1540"/>
        <item x="2332"/>
        <item x="885"/>
        <item x="1954"/>
        <item sd="0" x="3273"/>
        <item sd="0" x="4066"/>
        <item x="1192"/>
        <item sd="0" x="512"/>
        <item x="2391"/>
        <item x="1823"/>
        <item sd="0" x="3137"/>
        <item x="57"/>
        <item sd="0" x="3195"/>
        <item x="2778"/>
        <item sd="0" x="3643"/>
        <item x="2081"/>
        <item x="1510"/>
        <item sd="0" x="3886"/>
        <item x="1802"/>
        <item sd="0" x="3171"/>
        <item x="3002"/>
        <item x="1945"/>
        <item x="32"/>
        <item sd="0" x="3897"/>
        <item sd="0" x="2190"/>
        <item x="3037"/>
        <item x="91"/>
        <item x="1018"/>
        <item x="2038"/>
        <item x="288"/>
        <item x="1779"/>
        <item sd="0"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sd="0" x="3255"/>
        <item sd="0" x="513"/>
        <item sd="0" x="3754"/>
        <item sd="0" x="3534"/>
        <item sd="0" x="3598"/>
        <item x="897"/>
        <item x="4"/>
        <item sd="0" x="2222"/>
        <item x="167"/>
        <item x="2504"/>
        <item x="2553"/>
        <item sd="0" x="425"/>
        <item x="2590"/>
        <item x="2522"/>
        <item x="1874"/>
        <item x="716"/>
        <item x="1226"/>
        <item x="955"/>
        <item sd="0" x="3412"/>
        <item sd="0" x="3475"/>
        <item sd="0" x="2827"/>
        <item x="2037"/>
        <item x="2169"/>
        <item x="841"/>
        <item x="2941"/>
        <item sd="0" x="3701"/>
        <item x="2158"/>
        <item x="2533"/>
        <item sd="0" x="3205"/>
        <item x="3072"/>
        <item x="1440"/>
        <item x="1152"/>
        <item sd="0" x="4097"/>
        <item sd="0" x="3366"/>
        <item sd="0" x="3771"/>
        <item x="809"/>
        <item sd="0" x="3606"/>
        <item sd="0" x="4044"/>
        <item x="1032"/>
        <item sd="0" x="457"/>
        <item x="1988"/>
        <item x="909"/>
        <item sd="0"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sd="0" x="3725"/>
        <item sd="0" x="2272"/>
        <item x="3048"/>
        <item x="398"/>
        <item sd="0" x="2837"/>
        <item x="2334"/>
        <item sd="0" x="2807"/>
        <item x="1593"/>
        <item x="2726"/>
        <item x="2627"/>
        <item x="2637"/>
        <item x="2207"/>
        <item x="2324"/>
        <item sd="0" x="3499"/>
        <item x="1323"/>
        <item x="2439"/>
        <item x="377"/>
        <item sd="0" x="2234"/>
        <item x="1133"/>
        <item sd="0" x="3599"/>
        <item x="2044"/>
        <item x="1770"/>
        <item x="634"/>
        <item x="1319"/>
        <item x="615"/>
        <item x="2168"/>
        <item sd="0" x="2975"/>
        <item sd="0" x="3507"/>
        <item x="2167"/>
        <item sd="0" x="435"/>
        <item x="1478"/>
        <item x="1120"/>
        <item x="568"/>
        <item x="1999"/>
        <item sd="0" x="3330"/>
        <item x="635"/>
        <item sd="0" x="3866"/>
        <item x="2032"/>
        <item x="1044"/>
        <item sd="0" x="3636"/>
        <item x="6"/>
        <item sd="0" x="464"/>
        <item sd="0" x="3355"/>
        <item sd="0" x="3988"/>
        <item sd="0" x="2277"/>
        <item x="1781"/>
        <item x="2349"/>
        <item x="1642"/>
        <item sd="0" x="3747"/>
        <item sd="0"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sd="0"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sd="0" x="3358"/>
        <item x="2129"/>
        <item x="107"/>
        <item x="1070"/>
        <item x="348"/>
        <item x="2355"/>
        <item x="3019"/>
        <item sd="0" x="2802"/>
        <item sd="0" x="3239"/>
        <item x="1622"/>
        <item x="2004"/>
        <item x="2757"/>
        <item x="1043"/>
        <item sd="0" x="3261"/>
        <item x="627"/>
        <item x="601"/>
        <item sd="0" x="2239"/>
        <item sd="0" x="4061"/>
        <item sd="0" x="4054"/>
        <item x="1710"/>
        <item x="3102"/>
        <item sd="0" x="4072"/>
        <item x="660"/>
        <item x="2040"/>
        <item x="1423"/>
        <item x="2560"/>
        <item x="2642"/>
        <item x="2628"/>
        <item x="2149"/>
        <item sd="0" x="3635"/>
        <item sd="0" x="490"/>
        <item sd="0" x="420"/>
        <item x="1222"/>
        <item x="375"/>
        <item x="900"/>
        <item x="1095"/>
        <item x="2144"/>
        <item x="2633"/>
        <item x="2644"/>
        <item x="73"/>
        <item x="1863"/>
        <item x="2084"/>
        <item sd="0" x="492"/>
        <item x="2371"/>
        <item x="2396"/>
        <item sd="0" x="3597"/>
        <item x="2656"/>
        <item x="826"/>
        <item sd="0" x="3518"/>
        <item sd="0" x="3665"/>
        <item x="2043"/>
        <item x="1709"/>
        <item x="1110"/>
        <item x="1579"/>
        <item sd="0" x="3718"/>
        <item sd="0" x="3781"/>
        <item sd="0" x="3640"/>
        <item x="1961"/>
        <item sd="0" x="3466"/>
        <item x="758"/>
        <item x="1490"/>
        <item x="1431"/>
        <item x="1969"/>
        <item x="2952"/>
        <item sd="0" x="2963"/>
        <item x="2487"/>
        <item sd="0" x="3714"/>
        <item sd="0" x="2252"/>
        <item sd="0" x="2195"/>
        <item x="1862"/>
        <item x="3069"/>
        <item x="1351"/>
        <item sd="0" x="3458"/>
        <item sd="0" x="2935"/>
        <item x="3009"/>
        <item sd="0" x="3439"/>
        <item x="1121"/>
        <item x="1161"/>
        <item x="154"/>
        <item sd="0" x="473"/>
        <item x="1859"/>
        <item x="338"/>
        <item x="1116"/>
        <item x="1489"/>
        <item x="1395"/>
        <item x="376"/>
        <item sd="0" x="1296"/>
        <item x="1009"/>
        <item sd="0" x="3971"/>
        <item x="2024"/>
        <item x="1097"/>
        <item x="2497"/>
        <item x="2069"/>
        <item x="1514"/>
        <item x="1467"/>
        <item x="1852"/>
        <item x="833"/>
        <item x="2981"/>
        <item sd="0" x="3894"/>
        <item x="1073"/>
        <item sd="0" x="3394"/>
        <item x="128"/>
        <item x="25"/>
        <item x="760"/>
        <item sd="0" x="3685"/>
        <item x="603"/>
        <item x="1551"/>
        <item x="2721"/>
        <item x="2768"/>
        <item x="1974"/>
        <item x="2058"/>
        <item x="2723"/>
        <item x="2998"/>
        <item sd="0" x="2810"/>
        <item x="2984"/>
        <item x="3086"/>
        <item sd="0" x="3441"/>
        <item sd="0" x="3856"/>
        <item x="1418"/>
        <item x="1060"/>
        <item sd="0" x="3655"/>
        <item x="2386"/>
        <item sd="0" x="3580"/>
        <item x="1203"/>
        <item sd="0" x="3699"/>
        <item sd="0" x="3474"/>
        <item sd="0" x="4104"/>
        <item x="1740"/>
        <item sd="0" x="3314"/>
        <item sd="0" x="3600"/>
        <item sd="0" x="471"/>
        <item sd="0" x="3369"/>
        <item x="345"/>
        <item x="1711"/>
        <item x="84"/>
        <item x="1625"/>
        <item sd="0" x="2892"/>
        <item x="1557"/>
        <item x="40"/>
        <item x="190"/>
        <item x="1461"/>
        <item x="570"/>
        <item x="1601"/>
        <item x="1849"/>
        <item x="789"/>
        <item x="299"/>
        <item x="1252"/>
        <item sd="0" x="3139"/>
        <item x="1797"/>
        <item x="818"/>
        <item sd="0" x="3233"/>
        <item x="2175"/>
        <item x="1270"/>
        <item x="2019"/>
        <item x="2549"/>
        <item x="2609"/>
        <item sd="0" x="3494"/>
        <item sd="0" x="3750"/>
        <item x="1790"/>
        <item x="1062"/>
        <item sd="0" x="3824"/>
        <item x="408"/>
        <item x="741"/>
        <item x="355"/>
        <item x="2062"/>
        <item x="2315"/>
        <item sd="0" x="3311"/>
        <item sd="0" x="3136"/>
        <item x="782"/>
        <item x="1021"/>
        <item x="712"/>
        <item sd="0" x="2262"/>
        <item sd="0" x="3300"/>
        <item sd="0" x="2928"/>
        <item sd="0" x="2874"/>
        <item x="2059"/>
        <item x="1337"/>
        <item x="859"/>
        <item x="1660"/>
        <item x="1010"/>
        <item x="1000"/>
        <item sd="0" x="2198"/>
        <item x="1627"/>
        <item x="1189"/>
        <item sd="0" x="3199"/>
        <item x="944"/>
        <item sd="0" x="3847"/>
        <item x="2568"/>
        <item x="270"/>
        <item x="1399"/>
        <item x="295"/>
        <item x="2398"/>
        <item sd="0" x="3506"/>
        <item x="53"/>
        <item x="597"/>
        <item x="139"/>
        <item x="140"/>
        <item sd="0" x="3805"/>
        <item sd="0" x="3175"/>
        <item sd="0" x="3912"/>
        <item sd="0" x="3975"/>
        <item sd="0" x="2849"/>
        <item sd="0" x="3317"/>
        <item x="2099"/>
        <item x="2164"/>
        <item sd="0" x="3376"/>
        <item x="159"/>
        <item sd="0" x="3244"/>
        <item sd="0" x="3418"/>
        <item x="2597"/>
        <item sd="0" x="3666"/>
        <item x="343"/>
        <item x="1634"/>
        <item x="895"/>
        <item x="1391"/>
        <item x="813"/>
        <item x="755"/>
        <item x="566"/>
        <item sd="0" x="3825"/>
        <item x="1273"/>
        <item x="776"/>
        <item x="1812"/>
        <item x="1102"/>
        <item x="915"/>
        <item x="991"/>
        <item x="1513"/>
        <item sd="0" x="3862"/>
        <item x="1943"/>
        <item x="799"/>
        <item x="2498"/>
        <item x="889"/>
        <item x="1504"/>
        <item sd="0" x="2274"/>
        <item x="616"/>
        <item x="977"/>
        <item x="2408"/>
        <item sd="0" x="4100"/>
        <item x="2625"/>
        <item x="2282"/>
        <item x="894"/>
        <item x="1731"/>
        <item x="1649"/>
        <item x="142"/>
        <item x="1022"/>
        <item x="835"/>
        <item sd="0" x="2275"/>
        <item x="1654"/>
        <item sd="0" x="3698"/>
        <item x="886"/>
        <item x="1368"/>
        <item sd="0" x="2241"/>
        <item sd="0" x="2919"/>
        <item sd="0" x="3807"/>
        <item x="3033"/>
        <item x="3003"/>
        <item x="2639"/>
        <item x="3122"/>
        <item x="3059"/>
        <item x="3089"/>
        <item x="3035"/>
        <item x="3108"/>
        <item sd="0" x="3270"/>
        <item sd="0" x="3827"/>
        <item sd="0" x="2839"/>
        <item sd="0" x="3963"/>
        <item x="1594"/>
        <item x="1582"/>
        <item x="1464"/>
        <item x="391"/>
        <item sd="0" x="2966"/>
        <item sd="0" x="3473"/>
        <item x="775"/>
        <item x="2131"/>
        <item sd="0" x="3260"/>
        <item x="70"/>
        <item x="3098"/>
        <item x="2018"/>
        <item x="584"/>
        <item sd="0" x="3346"/>
        <item x="2995"/>
        <item sd="0" x="3403"/>
        <item x="2385"/>
        <item sd="0" x="3658"/>
        <item x="2094"/>
        <item x="2563"/>
        <item sd="0" x="1292"/>
        <item sd="0" x="3503"/>
        <item x="86"/>
        <item sd="0" x="2831"/>
        <item sd="0" x="4051"/>
        <item x="547"/>
        <item x="713"/>
        <item x="611"/>
        <item sd="0" x="3612"/>
        <item x="162"/>
        <item x="2379"/>
        <item sd="0" x="2822"/>
        <item x="553"/>
        <item x="956"/>
        <item sd="0" x="3720"/>
        <item sd="0" x="3780"/>
        <item x="2554"/>
        <item sd="0" x="3495"/>
        <item sd="0" x="3253"/>
        <item sd="0" x="3511"/>
        <item x="1266"/>
        <item x="123"/>
        <item x="2744"/>
        <item x="1313"/>
        <item sd="0" x="3316"/>
        <item sd="0" x="3134"/>
        <item sd="0" x="3594"/>
        <item x="845"/>
        <item x="2295"/>
        <item x="1837"/>
        <item x="3053"/>
        <item x="1949"/>
        <item sd="0" x="3221"/>
        <item sd="0" x="3730"/>
        <item x="1420"/>
        <item sd="0" x="4008"/>
        <item sd="0" x="3508"/>
        <item sd="0" x="2960"/>
        <item sd="0" x="3828"/>
        <item sd="0" x="538"/>
        <item sd="0" x="3939"/>
        <item sd="0" x="3953"/>
        <item sd="0" x="3543"/>
        <item sd="0" x="3619"/>
        <item sd="0" x="3916"/>
        <item sd="0" x="3837"/>
        <item sd="0" x="3345"/>
        <item x="1233"/>
        <item x="691"/>
        <item x="1035"/>
        <item x="1347"/>
        <item sd="0" x="3468"/>
        <item sd="0" x="3462"/>
        <item x="2399"/>
        <item sd="0" x="449"/>
        <item x="3038"/>
        <item x="756"/>
        <item sd="0" x="3884"/>
        <item x="1717"/>
        <item x="657"/>
        <item sd="0" x="3867"/>
        <item sd="0" x="516"/>
        <item sd="0" x="3192"/>
        <item x="1215"/>
        <item x="3052"/>
        <item sd="0" x="3641"/>
        <item x="1989"/>
        <item sd="0" x="445"/>
        <item x="807"/>
        <item x="222"/>
        <item sd="0" x="3693"/>
        <item x="734"/>
        <item sd="0" x="456"/>
        <item sd="0" x="476"/>
        <item x="692"/>
        <item x="1441"/>
        <item x="176"/>
        <item sd="0" x="3509"/>
        <item x="3031"/>
        <item x="779"/>
        <item x="647"/>
        <item x="1525"/>
        <item x="2507"/>
        <item x="1880"/>
        <item x="1168"/>
        <item x="1665"/>
        <item sd="0" x="2845"/>
        <item x="733"/>
        <item sd="0"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sd="0" x="3630"/>
        <item x="2416"/>
        <item x="671"/>
        <item x="571"/>
        <item sd="0" x="3130"/>
        <item x="2065"/>
        <item x="941"/>
        <item sd="0" x="529"/>
        <item x="1006"/>
        <item x="1360"/>
        <item x="1066"/>
        <item x="1748"/>
        <item x="1610"/>
        <item sd="0" x="3145"/>
        <item x="996"/>
        <item x="2345"/>
        <item x="2384"/>
        <item x="644"/>
        <item x="1325"/>
        <item x="283"/>
        <item x="309"/>
        <item x="1912"/>
        <item x="340"/>
        <item sd="0" x="3674"/>
        <item x="2469"/>
        <item sd="0" x="3629"/>
        <item x="815"/>
        <item x="2511"/>
        <item sd="0" x="2891"/>
        <item x="674"/>
        <item sd="0" x="3885"/>
        <item x="1456"/>
        <item x="705"/>
        <item sd="0" x="518"/>
        <item sd="0" x="2280"/>
        <item sd="0" x="3755"/>
        <item sd="0"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sd="0" x="3998"/>
        <item x="2517"/>
        <item x="2572"/>
        <item x="412"/>
        <item sd="0" x="4063"/>
        <item x="558"/>
        <item x="2617"/>
        <item x="2623"/>
        <item x="148"/>
        <item x="2152"/>
        <item x="2645"/>
        <item x="655"/>
        <item x="2017"/>
        <item x="312"/>
        <item x="1956"/>
        <item sd="0" x="4019"/>
        <item x="3062"/>
        <item sd="0" x="2191"/>
        <item sd="0" x="3492"/>
        <item x="62"/>
        <item x="294"/>
        <item x="126"/>
        <item sd="0" x="4041"/>
        <item x="2636"/>
        <item x="545"/>
        <item x="2214"/>
        <item sd="0" x="3556"/>
        <item sd="0" x="3786"/>
        <item x="552"/>
        <item sd="0" x="3397"/>
        <item x="12"/>
        <item x="2948"/>
        <item x="61"/>
        <item x="3114"/>
        <item sd="0" x="3464"/>
        <item sd="0" x="3637"/>
        <item sd="0" x="3799"/>
        <item x="1094"/>
        <item x="2404"/>
        <item x="2993"/>
        <item x="2742"/>
        <item x="2587"/>
        <item x="1888"/>
        <item sd="0" x="3154"/>
        <item sd="0" x="3741"/>
        <item sd="0" x="4080"/>
        <item sd="0" x="2854"/>
        <item sd="0" x="3648"/>
        <item sd="0" x="3968"/>
        <item x="3032"/>
        <item sd="0" x="2832"/>
        <item x="150"/>
        <item x="125"/>
        <item x="76"/>
        <item sd="0" x="3723"/>
        <item x="2635"/>
        <item sd="0" x="3745"/>
        <item x="2611"/>
        <item x="2630"/>
        <item x="1047"/>
        <item sd="0" x="439"/>
        <item x="2665"/>
        <item x="380"/>
        <item x="2685"/>
        <item x="784"/>
        <item x="2657"/>
        <item x="593"/>
        <item sd="0" x="500"/>
        <item x="1842"/>
        <item sd="0" x="3502"/>
        <item x="2170"/>
        <item x="1088"/>
        <item sd="0" x="3926"/>
        <item sd="0" x="2813"/>
        <item x="2053"/>
        <item x="1400"/>
        <item sd="0" x="2267"/>
        <item sd="0" x="2836"/>
        <item x="613"/>
        <item x="1881"/>
        <item sd="0" x="468"/>
        <item x="1723"/>
        <item x="1101"/>
        <item sd="0" x="3352"/>
        <item x="349"/>
        <item sd="0" x="502"/>
        <item x="1104"/>
        <item sd="0" x="2226"/>
        <item x="1734"/>
        <item x="1521"/>
        <item x="1011"/>
        <item sd="0" x="2909"/>
        <item x="1029"/>
        <item sd="0" x="3230"/>
        <item x="329"/>
        <item sd="0" x="511"/>
        <item x="2626"/>
        <item sd="0" x="3235"/>
        <item x="386"/>
        <item x="3119"/>
        <item x="1056"/>
        <item x="1253"/>
        <item x="1424"/>
        <item sd="0" x="3808"/>
        <item sd="0" x="3602"/>
        <item sd="0" x="2808"/>
        <item x="2474"/>
        <item sd="0" x="2842"/>
        <item x="2660"/>
        <item sd="0" x="3156"/>
        <item x="1669"/>
        <item x="2113"/>
        <item x="778"/>
        <item x="1085"/>
        <item x="1324"/>
        <item x="1543"/>
        <item sd="0" x="4017"/>
        <item sd="0" x="454"/>
        <item x="1162"/>
        <item x="2491"/>
        <item sd="0" x="3882"/>
        <item x="2775"/>
        <item x="2201"/>
        <item sd="0" x="3388"/>
        <item sd="0" x="3909"/>
        <item x="2700"/>
        <item x="1057"/>
        <item sd="0" x="3830"/>
        <item x="1929"/>
        <item x="751"/>
        <item x="179"/>
        <item sd="0" x="3149"/>
        <item x="609"/>
        <item sd="0" x="1287"/>
        <item x="1739"/>
        <item sd="0" x="3522"/>
        <item x="1768"/>
        <item x="418"/>
        <item x="368"/>
        <item x="80"/>
        <item sd="0" x="3712"/>
        <item sd="0" x="3379"/>
        <item x="1082"/>
        <item x="981"/>
        <item x="2693"/>
        <item sd="0" x="2830"/>
        <item x="2949"/>
        <item x="1496"/>
        <item x="837"/>
        <item sd="0" x="4103"/>
        <item sd="0" x="4031"/>
        <item x="939"/>
        <item x="580"/>
        <item sd="0" x="3972"/>
        <item x="1491"/>
        <item x="2138"/>
        <item sd="0" x="3523"/>
        <item sd="0" x="3613"/>
        <item x="1641"/>
        <item sd="0" x="474"/>
        <item x="2588"/>
        <item x="699"/>
        <item sd="0" x="3501"/>
        <item x="1500"/>
        <item x="2370"/>
        <item x="1834"/>
        <item x="605"/>
        <item sd="0" x="3986"/>
        <item sd="0" x="3653"/>
        <item sd="0" x="4027"/>
        <item x="1372"/>
        <item x="1114"/>
        <item x="1392"/>
        <item sd="0" x="3695"/>
        <item x="1345"/>
        <item sd="0" x="3942"/>
        <item x="1019"/>
        <item sd="0" x="3855"/>
        <item x="868"/>
        <item sd="0" x="3197"/>
        <item sd="0" x="3152"/>
        <item x="1130"/>
        <item x="5"/>
        <item sd="0" x="3996"/>
        <item sd="0" x="3892"/>
        <item sd="0" x="2187"/>
        <item x="2135"/>
        <item sd="0" x="2229"/>
        <item x="2658"/>
        <item x="1815"/>
        <item x="2991"/>
        <item x="3073"/>
        <item sd="0" x="3947"/>
        <item sd="0" x="3656"/>
        <item sd="0" x="2833"/>
        <item sd="0" x="3601"/>
        <item sd="0" x="2791"/>
        <item x="2733"/>
        <item x="1924"/>
        <item sd="0" x="4084"/>
        <item sd="0" x="1299"/>
        <item x="1050"/>
        <item x="723"/>
        <item x="1330"/>
        <item x="346"/>
        <item x="9"/>
        <item x="2712"/>
        <item sd="0" x="2926"/>
        <item x="724"/>
        <item sd="0" x="2788"/>
        <item x="1871"/>
        <item sd="0" x="487"/>
        <item x="1795"/>
        <item x="728"/>
        <item x="31"/>
        <item x="1218"/>
        <item x="622"/>
        <item sd="0" x="3813"/>
        <item x="1534"/>
        <item x="1450"/>
        <item x="45"/>
        <item x="935"/>
        <item x="151"/>
        <item x="2041"/>
        <item x="1458"/>
        <item x="63"/>
        <item x="2519"/>
        <item sd="0" x="3147"/>
        <item x="278"/>
        <item x="1437"/>
        <item sd="0" x="3634"/>
        <item x="722"/>
        <item sd="0" x="3943"/>
        <item x="2514"/>
        <item x="2958"/>
        <item sd="0" x="3448"/>
        <item x="803"/>
        <item x="2500"/>
        <item sd="0" x="2246"/>
        <item x="1405"/>
        <item x="893"/>
        <item x="1944"/>
        <item sd="0" x="2870"/>
        <item sd="0" x="3672"/>
        <item x="3049"/>
        <item sd="0" x="4101"/>
        <item x="172"/>
        <item sd="0" x="3207"/>
        <item x="2772"/>
        <item x="1058"/>
        <item x="3025"/>
        <item x="373"/>
        <item sd="0" x="3668"/>
        <item x="1623"/>
        <item x="1483"/>
        <item sd="0" x="3238"/>
        <item x="1219"/>
        <item sd="0" x="3589"/>
        <item x="1896"/>
        <item sd="0" x="4040"/>
        <item sd="0" x="3633"/>
        <item x="300"/>
        <item sd="0" x="2974"/>
        <item sd="0" x="4005"/>
        <item sd="0" x="480"/>
        <item x="1533"/>
        <item x="2516"/>
        <item sd="0" x="3810"/>
        <item x="354"/>
        <item x="1470"/>
        <item sd="0" x="3849"/>
        <item x="3064"/>
        <item x="1915"/>
        <item sd="0" x="3505"/>
        <item x="227"/>
        <item x="2595"/>
        <item x="2098"/>
        <item x="2480"/>
        <item x="1934"/>
        <item x="3088"/>
        <item x="3034"/>
        <item x="1617"/>
        <item x="1153"/>
        <item sd="0" x="3367"/>
        <item x="259"/>
        <item x="1476"/>
        <item x="3061"/>
        <item x="2719"/>
        <item sd="0" x="2806"/>
        <item x="1415"/>
        <item sd="0" x="3305"/>
        <item sd="0" x="4003"/>
        <item sd="0" x="3857"/>
        <item x="1561"/>
        <item x="2713"/>
        <item x="1081"/>
        <item x="200"/>
        <item sd="0" x="3383"/>
        <item sd="0" x="2967"/>
        <item x="2401"/>
        <item sd="0" x="423"/>
        <item sd="0" x="2840"/>
        <item x="1657"/>
        <item x="1371"/>
        <item x="406"/>
        <item x="1608"/>
        <item sd="0" x="1286"/>
        <item sd="0" x="484"/>
        <item sd="0" x="2850"/>
        <item sd="0" x="3294"/>
        <item x="1411"/>
        <item sd="0" x="3702"/>
        <item sd="0" x="2910"/>
        <item sd="0" x="2224"/>
        <item sd="0" x="1301"/>
        <item x="873"/>
        <item sd="0" x="3290"/>
        <item sd="0" x="3431"/>
        <item x="3070"/>
        <item x="212"/>
        <item x="2308"/>
        <item x="3097"/>
        <item x="2464"/>
        <item sd="0" x="3423"/>
        <item sd="0" x="3994"/>
        <item sd="0" x="2898"/>
        <item sd="0" x="3146"/>
        <item sd="0" x="2801"/>
        <item x="266"/>
        <item sd="0" x="3481"/>
        <item sd="0" x="3566"/>
        <item sd="0" x="3285"/>
        <item sd="0" x="3170"/>
        <item sd="0" x="2977"/>
        <item x="1921"/>
        <item x="988"/>
        <item x="1621"/>
        <item x="2440"/>
        <item x="961"/>
        <item x="1265"/>
        <item x="1738"/>
        <item x="1382"/>
        <item sd="0" x="3608"/>
        <item x="1149"/>
        <item sd="0" x="3593"/>
        <item x="2538"/>
        <item x="389"/>
        <item x="303"/>
        <item sd="0" x="462"/>
        <item x="1925"/>
        <item sd="0" x="4067"/>
        <item sd="0" x="3373"/>
        <item x="1743"/>
        <item sd="0" x="455"/>
        <item sd="0" x="429"/>
        <item x="2342"/>
        <item sd="0" x="2250"/>
        <item sd="0" x="3739"/>
        <item sd="0" x="451"/>
        <item x="265"/>
        <item x="1433"/>
        <item x="2766"/>
        <item sd="0" x="3342"/>
        <item x="1995"/>
        <item sd="0" x="3498"/>
        <item sd="0" x="3588"/>
        <item x="2989"/>
        <item x="177"/>
        <item sd="0" x="2792"/>
        <item x="1030"/>
        <item sd="0" x="3245"/>
        <item x="152"/>
        <item sd="0" x="3945"/>
        <item x="144"/>
        <item sd="0" x="3908"/>
        <item x="1493"/>
        <item x="1675"/>
        <item sd="0" x="494"/>
        <item sd="0" x="4086"/>
        <item x="1492"/>
        <item sd="0" x="489"/>
        <item x="2102"/>
        <item sd="0" x="3850"/>
        <item sd="0" x="3382"/>
        <item x="405"/>
        <item x="1715"/>
        <item x="1753"/>
        <item sd="0" x="3691"/>
        <item sd="0" x="3220"/>
        <item x="1432"/>
        <item sd="0" x="3563"/>
        <item sd="0" x="4038"/>
        <item x="990"/>
        <item sd="0" x="4042"/>
        <item x="2337"/>
        <item sd="0" x="3274"/>
        <item x="2055"/>
        <item sd="0" x="3796"/>
        <item x="187"/>
        <item sd="0" x="3455"/>
        <item sd="0" x="3242"/>
        <item sd="0" x="3711"/>
        <item x="234"/>
        <item sd="0" x="3617"/>
        <item sd="0" x="3309"/>
        <item sd="0" x="3737"/>
        <item x="29"/>
        <item x="922"/>
        <item sd="0" x="2855"/>
        <item x="37"/>
        <item sd="0" x="3304"/>
        <item x="1452"/>
        <item x="1107"/>
        <item sd="0" x="3174"/>
        <item sd="0" x="3575"/>
        <item x="155"/>
        <item x="1024"/>
        <item x="262"/>
        <item sd="0" x="3337"/>
        <item x="1935"/>
        <item sd="0" x="4033"/>
        <item sd="0" x="3764"/>
        <item sd="0" x="3206"/>
        <item sd="0" x="4021"/>
        <item sd="0" x="448"/>
        <item x="404"/>
        <item sd="0" x="466"/>
        <item x="2178"/>
        <item sd="0" x="485"/>
        <item x="2465"/>
        <item x="36"/>
        <item x="334"/>
        <item x="3074"/>
        <item sd="0" x="2883"/>
        <item x="1469"/>
        <item x="862"/>
        <item x="1599"/>
        <item x="1472"/>
        <item sd="0" x="4028"/>
        <item sd="0" x="3583"/>
        <item x="409"/>
        <item sd="0" x="3797"/>
        <item x="50"/>
        <item sd="0" x="2903"/>
        <item x="2426"/>
        <item sd="0" x="3568"/>
        <item x="940"/>
        <item sd="0" x="3919"/>
        <item sd="0" x="3298"/>
        <item x="729"/>
        <item sd="0" x="3391"/>
        <item sd="0" x="3490"/>
        <item x="273"/>
        <item x="214"/>
        <item sd="0" x="3514"/>
        <item sd="0" x="4023"/>
        <item x="1358"/>
        <item sd="0" x="3864"/>
        <item x="1602"/>
        <item x="271"/>
        <item x="1171"/>
        <item sd="0" x="3806"/>
        <item sd="0" x="4015"/>
        <item x="132"/>
        <item sd="0" x="3250"/>
        <item x="808"/>
        <item x="2695"/>
        <item x="2548"/>
        <item sd="0" x="4052"/>
        <item x="2661"/>
        <item x="2648"/>
        <item sd="0" x="4025"/>
        <item sd="0" x="421"/>
        <item sd="0" x="3164"/>
        <item x="1103"/>
        <item x="688"/>
        <item x="2755"/>
        <item x="2604"/>
        <item sd="0" x="3446"/>
        <item sd="0" x="3547"/>
        <item x="1539"/>
        <item sd="0" x="3772"/>
        <item x="1653"/>
        <item x="1565"/>
        <item x="870"/>
        <item x="843"/>
        <item x="930"/>
        <item sd="0" x="2824"/>
        <item x="3022"/>
        <item x="849"/>
        <item x="3013"/>
        <item sd="0" x="3452"/>
        <item x="2649"/>
        <item x="1576"/>
        <item x="2489"/>
        <item x="3094"/>
        <item sd="0" x="1297"/>
        <item x="1639"/>
        <item sd="0" x="3848"/>
        <item sd="0" x="3343"/>
        <item x="3024"/>
        <item x="2531"/>
        <item x="1916"/>
        <item x="1541"/>
        <item sd="0" x="442"/>
        <item x="223"/>
        <item x="395"/>
        <item sd="0" x="4030"/>
        <item sd="0" x="4062"/>
        <item sd="0" x="3141"/>
        <item x="393"/>
        <item sd="0" x="2826"/>
        <item x="1659"/>
        <item x="229"/>
        <item x="285"/>
        <item x="2536"/>
        <item x="959"/>
        <item sd="0" x="2803"/>
        <item sd="0" x="3562"/>
        <item x="2706"/>
        <item x="1199"/>
        <item x="330"/>
        <item x="2736"/>
        <item x="2075"/>
        <item x="1695"/>
        <item x="1994"/>
        <item sd="0" x="2242"/>
        <item x="1718"/>
        <item sd="0" x="3377"/>
        <item x="1626"/>
        <item sd="0" x="3638"/>
        <item x="1650"/>
        <item x="1261"/>
        <item sd="0" x="3751"/>
        <item x="1068"/>
        <item sd="0" x="3727"/>
        <item x="2114"/>
        <item x="1190"/>
        <item x="88"/>
        <item x="1873"/>
        <item x="2710"/>
        <item sd="0" x="3529"/>
        <item sd="0" x="3306"/>
        <item x="180"/>
        <item x="1757"/>
        <item sd="0" x="3893"/>
        <item sd="0" x="3801"/>
        <item x="362"/>
        <item x="1588"/>
        <item sd="0" x="4010"/>
        <item x="1463"/>
        <item sd="0" x="2823"/>
        <item sd="0" x="2248"/>
        <item sd="0" x="3705"/>
        <item sd="0" x="3371"/>
        <item x="1865"/>
        <item x="353"/>
        <item x="2108"/>
        <item sd="0" x="2912"/>
        <item sd="0" x="3333"/>
        <item sd="0" x="2889"/>
        <item x="882"/>
        <item x="1606"/>
        <item sd="0" x="3887"/>
        <item sd="0" x="3182"/>
        <item sd="0" x="3228"/>
        <item sd="0" x="2259"/>
        <item x="1499"/>
        <item sd="0" x="3420"/>
        <item x="316"/>
        <item x="2352"/>
        <item sd="0" x="3966"/>
        <item x="1027"/>
        <item x="2210"/>
        <item sd="0" x="3880"/>
        <item x="3112"/>
        <item x="1581"/>
        <item x="2593"/>
        <item x="1800"/>
        <item sd="0" x="3538"/>
        <item sd="0" x="3913"/>
        <item sd="0" x="2875"/>
        <item sd="0" x="3993"/>
        <item x="2048"/>
        <item x="2564"/>
        <item x="1055"/>
        <item sd="0" x="4082"/>
        <item sd="0" x="3240"/>
        <item sd="0" x="3408"/>
        <item x="89"/>
        <item x="1255"/>
        <item x="1890"/>
        <item x="1480"/>
        <item x="311"/>
        <item sd="0" x="3663"/>
        <item x="2769"/>
        <item x="626"/>
        <item sd="0" x="3957"/>
        <item x="1631"/>
        <item sd="0" x="3969"/>
        <item x="122"/>
        <item x="1686"/>
        <item x="1596"/>
        <item sd="0" x="4106"/>
        <item sd="0" x="3581"/>
        <item sd="0" x="3684"/>
        <item sd="0" x="3651"/>
        <item sd="0" x="3374"/>
        <item sd="0" x="3449"/>
        <item x="963"/>
        <item sd="0" x="3546"/>
        <item x="1799"/>
        <item x="292"/>
        <item x="2610"/>
        <item x="2150"/>
        <item x="379"/>
        <item sd="0" x="3535"/>
        <item sd="0" x="3445"/>
        <item sd="0" x="3845"/>
        <item x="1248"/>
        <item x="1592"/>
        <item sd="0" x="3493"/>
        <item x="2115"/>
        <item x="1990"/>
        <item x="2711"/>
        <item x="839"/>
        <item sd="0" x="4069"/>
        <item x="1517"/>
        <item x="251"/>
        <item sd="0" x="2884"/>
        <item sd="0" x="3313"/>
        <item x="1198"/>
        <item sd="0" x="3765"/>
        <item sd="0" x="3432"/>
        <item sd="0" x="3168"/>
        <item sd="0" x="3951"/>
        <item x="1992"/>
        <item x="904"/>
        <item x="2447"/>
        <item x="1635"/>
        <item sd="0" x="2973"/>
        <item x="1774"/>
        <item x="2101"/>
        <item x="115"/>
        <item x="2052"/>
        <item x="970"/>
        <item x="973"/>
        <item x="971"/>
        <item x="1699"/>
        <item x="725"/>
        <item x="1811"/>
        <item sd="0" x="3707"/>
        <item sd="0" x="432"/>
        <item x="652"/>
        <item x="3123"/>
        <item x="3067"/>
        <item sd="0" x="3874"/>
        <item x="3101"/>
        <item sd="0" x="4089"/>
        <item sd="0" x="534"/>
        <item sd="0" x="2821"/>
        <item sd="0" x="4071"/>
        <item x="3092"/>
        <item sd="0" x="2868"/>
        <item x="1244"/>
        <item x="1178"/>
        <item x="203"/>
        <item x="2145"/>
        <item sd="0" x="2923"/>
        <item sd="0" x="3623"/>
        <item x="2382"/>
        <item x="2083"/>
        <item sd="0" x="3454"/>
        <item x="1745"/>
        <item x="2403"/>
        <item x="1910"/>
        <item x="1643"/>
        <item sd="0" x="3142"/>
        <item x="772"/>
        <item x="1501"/>
        <item sd="0" x="3399"/>
        <item x="414"/>
        <item sd="0" x="3875"/>
        <item sd="0" x="4013"/>
        <item x="138"/>
        <item sd="0" x="3133"/>
        <item sd="0" x="3690"/>
        <item sd="0" x="3928"/>
        <item x="183"/>
        <item x="1257"/>
        <item x="2127"/>
        <item sd="0" x="2932"/>
        <item sd="0" x="3286"/>
        <item x="2527"/>
        <item sd="0" x="3292"/>
        <item sd="0" x="3560"/>
        <item x="145"/>
        <item x="413"/>
        <item x="1817"/>
        <item sd="0" x="4045"/>
        <item sd="0" x="2264"/>
        <item x="196"/>
        <item x="1694"/>
        <item x="1913"/>
        <item sd="0" x="3433"/>
        <item x="2091"/>
        <item sd="0" x="3176"/>
        <item sd="0" x="3803"/>
        <item x="2301"/>
        <item x="120"/>
        <item sd="0" x="4011"/>
        <item x="563"/>
        <item sd="0" x="2245"/>
        <item x="1824"/>
        <item x="2080"/>
        <item x="2676"/>
        <item x="2344"/>
        <item sd="0" x="3329"/>
        <item x="588"/>
        <item sd="0" x="3210"/>
        <item sd="0" x="3262"/>
        <item x="1569"/>
        <item sd="0" x="3375"/>
        <item x="2681"/>
        <item x="564"/>
        <item sd="0" x="3340"/>
        <item x="1092"/>
        <item sd="0" x="3713"/>
        <item sd="0" x="3545"/>
        <item sd="0" x="3835"/>
        <item x="735"/>
        <item x="2363"/>
        <item x="383"/>
        <item x="2675"/>
        <item sd="0" x="3272"/>
        <item x="1604"/>
        <item x="781"/>
        <item sd="0" x="2228"/>
        <item x="1075"/>
        <item sd="0" x="510"/>
        <item sd="0" x="3442"/>
        <item x="1443"/>
        <item x="1434"/>
        <item x="1436"/>
        <item x="1428"/>
        <item x="654"/>
        <item x="747"/>
        <item x="2779"/>
        <item sd="0" x="3389"/>
        <item sd="0" x="3770"/>
        <item sd="0" x="2269"/>
        <item x="1950"/>
        <item x="785"/>
        <item x="1960"/>
        <item x="979"/>
        <item x="912"/>
        <item sd="0" x="2197"/>
        <item x="72"/>
        <item x="191"/>
        <item x="1435"/>
        <item x="2444"/>
        <item x="1730"/>
        <item sd="0" x="475"/>
        <item x="219"/>
        <item x="1773"/>
        <item x="2992"/>
        <item x="1135"/>
        <item sd="0" x="434"/>
        <item x="696"/>
        <item sd="0" x="4047"/>
        <item sd="0" x="3917"/>
        <item x="1520"/>
        <item x="2670"/>
        <item sd="0" x="3815"/>
        <item sd="0" x="463"/>
        <item sd="0" x="3513"/>
        <item sd="0" x="3539"/>
        <item sd="0" x="3533"/>
        <item sd="0" x="3812"/>
        <item x="2433"/>
        <item sd="0" x="3224"/>
        <item sd="0" x="3936"/>
        <item x="2333"/>
        <item sd="0" x="3681"/>
        <item x="100"/>
        <item sd="0" x="3740"/>
        <item x="2056"/>
        <item x="903"/>
        <item x="2621"/>
        <item sd="0" x="521"/>
        <item x="1335"/>
        <item x="667"/>
        <item sd="0" x="2936"/>
        <item x="1948"/>
        <item x="633"/>
        <item x="1899"/>
        <item sd="0" x="2853"/>
        <item x="1125"/>
        <item sd="0" x="3344"/>
        <item sd="0" x="3858"/>
        <item x="1462"/>
        <item x="371"/>
        <item sd="0" x="3461"/>
        <item x="267"/>
        <item sd="0" x="4073"/>
        <item sd="0" x="3903"/>
        <item x="1359"/>
        <item x="738"/>
        <item x="1575"/>
        <item x="163"/>
        <item x="1697"/>
        <item sd="0" x="3958"/>
        <item sd="0" x="3763"/>
        <item sd="0" x="3334"/>
        <item x="567"/>
        <item x="637"/>
        <item x="610"/>
        <item x="574"/>
        <item x="2132"/>
        <item sd="0" x="2780"/>
        <item x="2631"/>
        <item x="632"/>
        <item x="594"/>
        <item x="1512"/>
        <item x="3"/>
        <item x="1206"/>
        <item x="1069"/>
        <item sd="0" x="3277"/>
        <item x="1725"/>
        <item x="2667"/>
        <item x="41"/>
        <item x="2063"/>
        <item x="3011"/>
        <item x="2957"/>
        <item sd="0" x="3341"/>
        <item sd="0"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sd="0" x="3967"/>
        <item x="1897"/>
        <item sd="0" x="3564"/>
        <item x="834"/>
        <item x="1784"/>
        <item sd="0" x="3944"/>
        <item x="802"/>
        <item x="2574"/>
        <item x="2443"/>
        <item x="1983"/>
        <item x="2003"/>
        <item sd="0" x="3838"/>
        <item x="2395"/>
        <item x="1794"/>
        <item sd="0" x="3465"/>
        <item x="1666"/>
        <item sd="0" x="3165"/>
        <item sd="0" x="3734"/>
        <item x="1013"/>
        <item x="2739"/>
        <item sd="0" x="3890"/>
        <item sd="0" x="526"/>
        <item x="1083"/>
        <item x="341"/>
        <item sd="0" x="3359"/>
        <item x="87"/>
        <item sd="0" x="3622"/>
        <item x="116"/>
        <item x="1231"/>
        <item x="1064"/>
        <item x="2494"/>
        <item x="805"/>
        <item sd="0" x="3427"/>
        <item x="2388"/>
        <item sd="0" x="3302"/>
        <item sd="0" x="3348"/>
        <item x="686"/>
        <item x="649"/>
        <item x="2539"/>
        <item x="1059"/>
        <item x="2999"/>
        <item sd="0" x="3404"/>
        <item sd="0" x="3574"/>
        <item x="2155"/>
        <item x="56"/>
        <item x="1307"/>
        <item x="697"/>
        <item sd="0" x="3616"/>
        <item x="2620"/>
        <item x="1342"/>
        <item x="638"/>
        <item x="2133"/>
        <item sd="0" x="3748"/>
        <item x="992"/>
        <item x="2436"/>
        <item sd="0" x="3395"/>
        <item x="587"/>
        <item sd="0" x="3216"/>
        <item x="532"/>
        <item sd="0" x="4077"/>
        <item sd="0" x="2244"/>
        <item x="1148"/>
        <item x="2411"/>
        <item x="1744"/>
        <item x="1439"/>
        <item x="2677"/>
        <item sd="0" x="3846"/>
        <item sd="0" x="3158"/>
        <item x="1466"/>
        <item x="1354"/>
        <item x="1536"/>
        <item x="621"/>
        <item sd="0" x="4012"/>
        <item x="1637"/>
        <item x="1398"/>
        <item sd="0" x="1285"/>
        <item x="245"/>
        <item x="1144"/>
        <item sd="0" x="3159"/>
        <item sd="0" x="3686"/>
        <item sd="0" x="3275"/>
        <item sd="0" x="3425"/>
        <item sd="0" x="3647"/>
        <item x="653"/>
        <item sd="0" x="4096"/>
        <item x="612"/>
        <item x="628"/>
        <item x="2666"/>
        <item x="2410"/>
        <item x="578"/>
        <item x="2010"/>
        <item sd="0" x="3610"/>
        <item x="1516"/>
        <item x="2773"/>
        <item x="1887"/>
        <item x="573"/>
        <item x="983"/>
        <item sd="0" x="2251"/>
        <item x="780"/>
        <item x="1556"/>
        <item x="854"/>
        <item sd="0" x="3974"/>
        <item x="2741"/>
        <item x="1427"/>
        <item sd="0" x="3854"/>
        <item x="1733"/>
        <item x="736"/>
        <item sd="0" x="3783"/>
        <item x="623"/>
        <item x="1163"/>
        <item sd="0" x="2917"/>
        <item x="204"/>
        <item x="378"/>
        <item x="762"/>
        <item sd="0" x="2918"/>
        <item sd="0" x="4056"/>
        <item x="1772"/>
        <item x="323"/>
        <item sd="0" x="3779"/>
        <item x="297"/>
        <item sd="0" x="3407"/>
        <item x="35"/>
        <item x="3017"/>
        <item x="2771"/>
        <item sd="0" x="2814"/>
        <item x="2321"/>
        <item x="372"/>
        <item x="364"/>
        <item x="3105"/>
        <item x="759"/>
        <item x="2302"/>
        <item sd="0" x="3335"/>
        <item x="1850"/>
        <item x="1352"/>
        <item x="2392"/>
        <item sd="0" x="3489"/>
        <item x="1250"/>
        <item x="819"/>
        <item x="2213"/>
        <item x="284"/>
        <item x="1728"/>
        <item sd="0" x="3510"/>
        <item x="238"/>
        <item x="720"/>
        <item sd="0" x="441"/>
        <item x="1393"/>
        <item sd="0" x="3904"/>
        <item sd="0" x="3731"/>
        <item x="2130"/>
        <item x="1822"/>
        <item x="2179"/>
        <item sd="0" x="504"/>
        <item x="1228"/>
        <item x="1072"/>
        <item x="301"/>
        <item sd="0" x="2970"/>
        <item sd="0" x="3526"/>
        <item sd="0" x="3213"/>
        <item sd="0" x="501"/>
        <item x="1331"/>
        <item x="1315"/>
        <item x="677"/>
        <item x="678"/>
        <item sd="0" x="1293"/>
        <item x="1262"/>
        <item x="2427"/>
        <item sd="0" x="3981"/>
        <item x="2394"/>
        <item x="820"/>
        <item sd="0" x="3609"/>
        <item x="1099"/>
        <item x="2947"/>
        <item x="255"/>
        <item x="1968"/>
        <item x="1329"/>
        <item x="618"/>
        <item x="2729"/>
        <item sd="0" x="3952"/>
        <item x="2512"/>
        <item x="1758"/>
        <item x="1016"/>
        <item sd="0" x="3248"/>
        <item x="850"/>
        <item x="351"/>
        <item x="2455"/>
        <item sd="0" x="3891"/>
        <item x="1223"/>
        <item x="67"/>
        <item x="1487"/>
        <item x="2117"/>
        <item x="26"/>
        <item sd="0" x="3398"/>
        <item x="1980"/>
        <item x="2442"/>
        <item sd="0" x="3531"/>
        <item sd="0" x="3161"/>
        <item x="672"/>
        <item x="2051"/>
        <item x="2586"/>
        <item sd="0" x="2798"/>
        <item sd="0" x="3644"/>
        <item sd="0" x="524"/>
        <item x="2202"/>
        <item x="704"/>
        <item x="291"/>
        <item sd="0" x="2279"/>
        <item x="1872"/>
        <item x="2148"/>
        <item sd="0" x="2253"/>
        <item x="1914"/>
        <item x="244"/>
        <item t="default"/>
      </items>
    </pivotField>
    <pivotField showAll="0"/>
    <pivotField numFmtId="44" showAll="0"/>
    <pivotField axis="axisRow" numFmtId="164" showAll="0">
      <items count="2549">
        <item sd="0" x="117"/>
        <item sd="0" x="116"/>
        <item sd="0" x="369"/>
        <item sd="0" x="158"/>
        <item sd="0" x="460"/>
        <item sd="0" x="139"/>
        <item sd="0" x="360"/>
        <item sd="0" x="1001"/>
        <item x="138"/>
        <item x="426"/>
        <item sd="0" x="115"/>
        <item sd="0" x="143"/>
        <item sd="0" x="433"/>
        <item sd="0" x="31"/>
        <item x="441"/>
        <item sd="0" x="355"/>
        <item sd="0" x="493"/>
        <item sd="0" x="1486"/>
        <item x="157"/>
        <item x="461"/>
        <item sd="0" x="1820"/>
        <item sd="0" x="170"/>
        <item sd="0" x="577"/>
        <item x="1178"/>
        <item sd="0" x="1937"/>
        <item sd="0" x="363"/>
        <item sd="0" x="379"/>
        <item sd="0" x="375"/>
        <item x="1843"/>
        <item sd="0" x="2539"/>
        <item x="920"/>
        <item sd="0" x="792"/>
        <item sd="0" x="134"/>
        <item sd="0" x="395"/>
        <item sd="0" x="573"/>
        <item sd="0" x="1172"/>
        <item sd="0" x="2540"/>
        <item sd="0" x="428"/>
        <item x="1275"/>
        <item sd="0" x="2541"/>
        <item sd="0" x="2495"/>
        <item sd="0" x="1665"/>
        <item sd="0" x="130"/>
        <item sd="0" x="781"/>
        <item x="809"/>
        <item sd="0" x="775"/>
        <item sd="0" x="372"/>
        <item sd="0" x="779"/>
        <item sd="0" x="1489"/>
        <item x="1031"/>
        <item sd="0" x="155"/>
        <item sd="0" x="152"/>
        <item sd="0" x="401"/>
        <item sd="0" x="500"/>
        <item sd="0" x="434"/>
        <item sd="0" x="443"/>
        <item x="1033"/>
        <item sd="0" x="1765"/>
        <item sd="0" x="177"/>
        <item sd="0" x="377"/>
        <item x="653"/>
        <item sd="0" x="1933"/>
        <item x="541"/>
        <item sd="0" x="654"/>
        <item x="1078"/>
        <item x="427"/>
        <item sd="0" x="2525"/>
        <item x="1227"/>
        <item sd="0" x="119"/>
        <item x="1840"/>
        <item x="662"/>
        <item x="799"/>
        <item x="1838"/>
        <item sd="0" x="735"/>
        <item sd="0" x="382"/>
        <item x="1009"/>
        <item x="1367"/>
        <item sd="0" x="439"/>
        <item sd="0" x="136"/>
        <item sd="0" x="376"/>
        <item sd="0" x="371"/>
        <item sd="0" x="790"/>
        <item sd="0" x="1079"/>
        <item sd="0" x="1726"/>
        <item sd="0" x="456"/>
        <item x="1818"/>
        <item x="131"/>
        <item x="1085"/>
        <item sd="0" x="1077"/>
        <item sd="0" x="483"/>
        <item sd="0" x="2068"/>
        <item sd="0" x="173"/>
        <item sd="0" x="462"/>
        <item sd="0" x="1301"/>
        <item sd="0" x="1487"/>
        <item sd="0" x="522"/>
        <item x="437"/>
        <item x="1220"/>
        <item x="1651"/>
        <item sd="0" x="791"/>
        <item sd="0" x="178"/>
        <item x="658"/>
        <item sd="0" x="399"/>
        <item sd="0" x="129"/>
        <item sd="0" x="851"/>
        <item sd="0" x="1497"/>
        <item sd="0" x="678"/>
        <item x="430"/>
        <item sd="0" x="1811"/>
        <item sd="0" x="366"/>
        <item sd="0" x="691"/>
        <item sd="0" x="1491"/>
        <item sd="0" x="1949"/>
        <item sd="0" x="176"/>
        <item sd="0" x="449"/>
        <item x="849"/>
        <item sd="0" x="361"/>
        <item sd="0" x="2503"/>
        <item sd="0" x="2519"/>
        <item sd="0" x="2547"/>
        <item sd="0" x="381"/>
        <item x="133"/>
        <item sd="0" x="385"/>
        <item x="436"/>
        <item sd="0" x="1011"/>
        <item sd="0" x="1927"/>
        <item sd="0" x="392"/>
        <item sd="0" x="403"/>
        <item sd="0" x="118"/>
        <item sd="0" x="358"/>
        <item x="1196"/>
        <item x="484"/>
        <item x="669"/>
        <item sd="0" x="2066"/>
        <item sd="0" x="785"/>
        <item sd="0" x="575"/>
        <item sd="0" x="2504"/>
        <item x="442"/>
        <item sd="0" x="571"/>
        <item x="853"/>
        <item sd="0" x="789"/>
        <item sd="0" x="147"/>
        <item sd="0" x="1935"/>
        <item x="797"/>
        <item x="1202"/>
        <item x="801"/>
        <item sd="0" x="2492"/>
        <item x="121"/>
        <item x="528"/>
        <item sd="0" x="666"/>
        <item x="670"/>
        <item x="523"/>
        <item sd="0" x="148"/>
        <item sd="0" x="1671"/>
        <item sd="0" x="1672"/>
        <item sd="0" x="359"/>
        <item sd="0" x="2546"/>
        <item sd="0" x="82"/>
        <item x="852"/>
        <item sd="0" x="2518"/>
        <item x="719"/>
        <item sd="0" x="2522"/>
        <item sd="0" x="394"/>
        <item sd="0" x="1168"/>
        <item x="734"/>
        <item x="445"/>
        <item sd="0" x="1175"/>
        <item x="706"/>
        <item sd="0" x="398"/>
        <item x="694"/>
        <item sd="0" x="731"/>
        <item x="569"/>
        <item sd="0" x="1369"/>
        <item x="1303"/>
        <item sd="0" x="739"/>
        <item sd="0" x="854"/>
        <item sd="0" x="782"/>
        <item x="435"/>
        <item sd="0" x="156"/>
        <item sd="0" x="2345"/>
        <item sd="0" x="800"/>
        <item sd="0" x="787"/>
        <item sd="0" x="2069"/>
        <item x="440"/>
        <item sd="0" x="92"/>
        <item x="453"/>
        <item x="160"/>
        <item sd="0" x="1942"/>
        <item sd="0" x="764"/>
        <item sd="0" x="795"/>
        <item sd="0" x="1932"/>
        <item sd="0" x="1914"/>
        <item sd="0" x="687"/>
        <item x="1836"/>
        <item sd="0" x="1766"/>
        <item x="2055"/>
        <item x="161"/>
        <item sd="0" x="668"/>
        <item x="1725"/>
        <item sd="0" x="1482"/>
        <item sd="0" x="2516"/>
        <item x="686"/>
        <item sd="0" x="683"/>
        <item x="817"/>
        <item sd="0" x="2515"/>
        <item x="501"/>
        <item sd="0" x="452"/>
        <item sd="0" x="356"/>
        <item x="659"/>
        <item x="527"/>
        <item sd="0" x="622"/>
        <item sd="0" x="1925"/>
        <item sd="0" x="2304"/>
        <item sd="0" x="1938"/>
        <item x="1549"/>
        <item sd="0" x="1002"/>
        <item x="144"/>
        <item x="1668"/>
        <item x="676"/>
        <item x="675"/>
        <item x="2041"/>
        <item sd="0" x="400"/>
        <item x="128"/>
        <item sd="0" x="2303"/>
        <item x="454"/>
        <item x="154"/>
        <item x="438"/>
        <item sd="0" x="457"/>
        <item sd="0" x="574"/>
        <item x="1806"/>
        <item sd="0" x="2415"/>
        <item sd="0" x="1812"/>
        <item x="135"/>
        <item x="175"/>
        <item x="1273"/>
        <item sd="0" x="2441"/>
        <item x="1088"/>
        <item sd="0" x="2342"/>
        <item x="2001"/>
        <item sd="0" x="672"/>
        <item x="308"/>
        <item x="700"/>
        <item x="163"/>
        <item sd="0" x="1363"/>
        <item sd="0" x="2285"/>
        <item x="1748"/>
        <item sd="0" x="373"/>
        <item sd="0" x="2512"/>
        <item sd="0" x="402"/>
        <item x="1709"/>
        <item x="149"/>
        <item sd="0" x="2465"/>
        <item x="124"/>
        <item sd="0" x="1496"/>
        <item x="935"/>
        <item sd="0" x="2424"/>
        <item sd="0" x="22"/>
        <item x="708"/>
        <item sd="0" x="2532"/>
        <item sd="0" x="364"/>
        <item x="1646"/>
        <item sd="0" x="1926"/>
        <item x="1005"/>
        <item sd="0" x="2433"/>
        <item x="1537"/>
        <item sd="0" x="94"/>
        <item sd="0" x="446"/>
        <item sd="0" x="2442"/>
        <item sd="0" x="357"/>
        <item x="1296"/>
        <item x="140"/>
        <item sd="0" x="1946"/>
        <item sd="0" x="1901"/>
        <item x="1003"/>
        <item sd="0" x="2202"/>
        <item x="2036"/>
        <item sd="0" x="2497"/>
        <item sd="0" x="2508"/>
        <item sd="0" x="2467"/>
        <item sd="0" x="75"/>
        <item x="1501"/>
        <item sd="0" x="720"/>
        <item sd="0" x="2355"/>
        <item x="2047"/>
        <item sd="0" x="1488"/>
        <item sd="0" x="374"/>
        <item sd="0" x="517"/>
        <item sd="0" x="2254"/>
        <item sd="0" x="1922"/>
        <item x="931"/>
        <item x="1171"/>
        <item sd="0" x="2524"/>
        <item sd="0" x="2538"/>
        <item x="1807"/>
        <item sd="0" x="2527"/>
        <item sd="0" x="83"/>
        <item sd="0" x="2480"/>
        <item x="89"/>
        <item x="927"/>
        <item sd="0" x="424"/>
        <item sd="0" x="1929"/>
        <item sd="0" x="2294"/>
        <item x="1082"/>
        <item x="1238"/>
        <item x="1717"/>
        <item x="1120"/>
        <item sd="0" x="624"/>
        <item x="2062"/>
        <item sd="0" x="2"/>
        <item sd="0" x="2517"/>
        <item sd="0" x="2356"/>
        <item sd="0" x="798"/>
        <item sd="0" x="2481"/>
        <item sd="0" x="2199"/>
        <item sd="0" x="2065"/>
        <item sd="0" x="2526"/>
        <item sd="0" x="2500"/>
        <item sd="0" x="614"/>
        <item x="1691"/>
        <item sd="0" x="1100"/>
        <item x="988"/>
        <item x="503"/>
        <item x="1611"/>
        <item sd="0" x="2191"/>
        <item x="1289"/>
        <item sd="0" x="145"/>
        <item sd="0" x="2531"/>
        <item x="1140"/>
        <item x="73"/>
        <item sd="0" x="1941"/>
        <item sd="0" x="365"/>
        <item sd="0" x="2543"/>
        <item sd="0" x="2377"/>
        <item x="793"/>
        <item x="997"/>
        <item sd="0" x="2038"/>
        <item x="510"/>
        <item x="448"/>
        <item x="1234"/>
        <item sd="0" x="2237"/>
        <item sd="0" x="2331"/>
        <item x="566"/>
        <item sd="0" x="1595"/>
        <item x="49"/>
        <item sd="0" x="321"/>
        <item sd="0" x="898"/>
        <item sd="0" x="2422"/>
        <item sd="0" x="1493"/>
        <item sd="0" x="904"/>
        <item sd="0" x="1945"/>
        <item x="1443"/>
        <item sd="0" x="2258"/>
        <item sd="0" x="972"/>
        <item x="742"/>
        <item sd="0" x="1940"/>
        <item sd="0" x="1370"/>
        <item x="1436"/>
        <item x="9"/>
        <item sd="0" x="2291"/>
        <item x="110"/>
        <item sd="0" x="1508"/>
        <item x="1163"/>
        <item x="69"/>
        <item x="1300"/>
        <item sd="0" x="2067"/>
        <item sd="0" x="141"/>
        <item sd="0" x="762"/>
        <item x="657"/>
        <item sd="0" x="2043"/>
        <item sd="0" x="1084"/>
        <item sd="0" x="1208"/>
        <item x="1368"/>
        <item sd="0" x="1943"/>
        <item sd="0" x="2283"/>
        <item sd="0" x="2337"/>
        <item sd="0" x="2176"/>
        <item sd="0" x="1898"/>
        <item x="682"/>
        <item x="1667"/>
        <item sd="0" x="1948"/>
        <item x="815"/>
        <item sd="0" x="362"/>
        <item x="1076"/>
        <item sd="0" x="770"/>
        <item x="1123"/>
        <item x="1724"/>
        <item x="1286"/>
        <item x="344"/>
        <item x="458"/>
        <item sd="0" x="2293"/>
        <item x="485"/>
        <item x="1034"/>
        <item sd="0" x="2286"/>
        <item sd="0" x="2179"/>
        <item x="699"/>
        <item sd="0" x="2447"/>
        <item sd="0" x="2401"/>
        <item sd="0" x="526"/>
        <item sd="0" x="2341"/>
        <item sd="0" x="2180"/>
        <item x="2013"/>
        <item x="150"/>
        <item x="1747"/>
        <item x="723"/>
        <item x="986"/>
        <item sd="0" x="655"/>
        <item x="1881"/>
        <item sd="0" x="786"/>
        <item sd="0" x="2542"/>
        <item x="2033"/>
        <item x="164"/>
        <item sd="0" x="661"/>
        <item sd="0" x="2393"/>
        <item x="1543"/>
        <item x="1108"/>
        <item sd="0" x="2545"/>
        <item sd="0" x="1158"/>
        <item x="67"/>
        <item x="960"/>
        <item sd="0" x="370"/>
        <item sd="0" x="2350"/>
        <item sd="0" x="2537"/>
        <item sd="0" x="1911"/>
        <item sd="0" x="2249"/>
        <item x="1760"/>
        <item x="1670"/>
        <item sd="0" x="2316"/>
        <item sd="0" x="1955"/>
        <item x="2050"/>
        <item x="1713"/>
        <item sd="0" x="25"/>
        <item x="1688"/>
        <item sd="0" x="1007"/>
        <item x="1329"/>
        <item x="1010"/>
        <item sd="0" x="1629"/>
        <item x="1242"/>
        <item sd="0" x="1553"/>
        <item sd="0" x="552"/>
        <item x="1266"/>
        <item x="1465"/>
        <item sd="0" x="378"/>
        <item x="565"/>
        <item sd="0" x="2469"/>
        <item x="2035"/>
        <item x="1805"/>
        <item x="1882"/>
        <item x="516"/>
        <item sd="0" x="2171"/>
        <item sd="0" x="2491"/>
        <item sd="0" x="447"/>
        <item sd="0" x="1483"/>
        <item x="1177"/>
        <item x="1205"/>
        <item x="1548"/>
        <item sd="0" x="386"/>
        <item x="1236"/>
        <item sd="0" x="2279"/>
        <item sd="0" x="2487"/>
        <item sd="0" x="983"/>
        <item x="926"/>
        <item x="701"/>
        <item sd="0" x="2382"/>
        <item sd="0" x="695"/>
        <item x="1197"/>
        <item x="807"/>
        <item sd="0" x="1763"/>
        <item x="494"/>
        <item x="1032"/>
        <item sd="0" x="1528"/>
        <item sd="0" x="72"/>
        <item x="582"/>
        <item x="486"/>
        <item sd="0" x="1217"/>
        <item sd="0" x="711"/>
        <item x="2052"/>
        <item x="608"/>
        <item x="991"/>
        <item sd="0" x="1622"/>
        <item sd="0" x="1894"/>
        <item sd="0" x="1796"/>
        <item x="1727"/>
        <item sd="0" x="2292"/>
        <item sd="0" x="1931"/>
        <item sd="0" x="2265"/>
        <item x="1795"/>
        <item sd="0" x="1979"/>
        <item x="518"/>
        <item x="805"/>
        <item sd="0" x="1255"/>
        <item x="1802"/>
        <item x="942"/>
        <item x="1209"/>
        <item x="1222"/>
        <item sd="0" x="325"/>
        <item sd="0" x="2471"/>
        <item sd="0" x="2385"/>
        <item x="1099"/>
        <item x="1253"/>
        <item x="1885"/>
        <item x="1141"/>
        <item x="1276"/>
        <item sd="0" x="2025"/>
        <item x="1626"/>
        <item sd="0" x="2373"/>
        <item x="836"/>
        <item x="1101"/>
        <item x="1542"/>
        <item sd="0" x="806"/>
        <item x="760"/>
        <item sd="0" x="581"/>
        <item sd="0" x="772"/>
        <item sd="0" x="1249"/>
        <item x="1702"/>
        <item sd="0" x="831"/>
        <item x="1469"/>
        <item x="578"/>
        <item x="247"/>
        <item sd="0" x="2413"/>
        <item sd="0" x="2231"/>
        <item x="1279"/>
        <item x="1884"/>
        <item x="1121"/>
        <item x="1628"/>
        <item sd="0" x="2257"/>
        <item x="468"/>
        <item x="1722"/>
        <item x="1834"/>
        <item sd="0" x="848"/>
        <item sd="0" x="2322"/>
        <item sd="0" x="2474"/>
        <item sd="0" x="2489"/>
        <item x="579"/>
        <item x="1761"/>
        <item sd="0" x="2190"/>
        <item sd="0" x="1586"/>
        <item x="1962"/>
        <item sd="0" x="2300"/>
        <item sd="0" x="2280"/>
        <item x="1144"/>
        <item x="1203"/>
        <item sd="0" x="876"/>
        <item sd="0" x="2427"/>
        <item sd="0" x="2358"/>
        <item sd="0" x="2227"/>
        <item x="963"/>
        <item x="1963"/>
        <item sd="0" x="2488"/>
        <item sd="0" x="1742"/>
        <item sd="0" x="1666"/>
        <item sd="0" x="2509"/>
        <item sd="0" x="2230"/>
        <item x="91"/>
        <item x="497"/>
        <item sd="0" x="2359"/>
        <item x="1322"/>
        <item sd="0" x="2196"/>
        <item sd="0" x="2410"/>
        <item sd="0" x="2273"/>
        <item x="1319"/>
        <item sd="0" x="2346"/>
        <item sd="0" x="1673"/>
        <item sd="0" x="932"/>
        <item x="917"/>
        <item x="1541"/>
        <item sd="0" x="1936"/>
        <item sd="0" x="1288"/>
        <item x="1193"/>
        <item x="1206"/>
        <item sd="0" x="1900"/>
        <item x="802"/>
        <item sd="0" x="2528"/>
        <item x="681"/>
        <item sd="0" x="1565"/>
        <item sd="0" x="2205"/>
        <item x="1769"/>
        <item sd="0" x="774"/>
        <item sd="0" x="1156"/>
        <item x="1109"/>
        <item x="2051"/>
        <item sd="0" x="1699"/>
        <item sd="0" x="1890"/>
        <item sd="0" x="647"/>
        <item x="652"/>
        <item x="351"/>
        <item x="1096"/>
        <item sd="0" x="2290"/>
        <item x="1272"/>
        <item sd="0" x="1967"/>
        <item sd="0" x="2087"/>
        <item x="1677"/>
        <item sd="0" x="1281"/>
        <item x="19"/>
        <item sd="0" x="2499"/>
        <item sd="0" x="459"/>
        <item sd="0" x="2431"/>
        <item sd="0" x="380"/>
        <item x="1711"/>
        <item sd="0" x="2482"/>
        <item sd="0" x="2200"/>
        <item sd="0" x="2343"/>
        <item x="1698"/>
        <item x="1312"/>
        <item x="2020"/>
        <item x="610"/>
        <item sd="0" x="2315"/>
        <item sd="0" x="2391"/>
        <item sd="0" x="1958"/>
        <item x="345"/>
        <item x="1707"/>
        <item x="656"/>
        <item x="2016"/>
        <item x="126"/>
        <item sd="0" x="2044"/>
        <item x="146"/>
        <item sd="0" x="166"/>
        <item x="1264"/>
        <item x="1170"/>
        <item sd="0" x="2521"/>
        <item x="508"/>
        <item sd="0" x="2127"/>
        <item sd="0" x="2510"/>
        <item sd="0" x="1887"/>
        <item x="1135"/>
        <item x="1965"/>
        <item sd="0" x="2445"/>
        <item sd="0" x="2452"/>
        <item sd="0" x="414"/>
        <item x="929"/>
        <item x="1819"/>
        <item sd="0" x="2544"/>
        <item x="954"/>
        <item x="640"/>
        <item x="1674"/>
        <item x="1480"/>
        <item x="77"/>
        <item sd="0" x="1467"/>
        <item x="1762"/>
        <item sd="0" x="1947"/>
        <item x="1701"/>
        <item sd="0" x="2282"/>
        <item x="432"/>
        <item x="100"/>
        <item x="584"/>
        <item x="1990"/>
        <item x="1153"/>
        <item x="677"/>
        <item sd="0" x="2403"/>
        <item sd="0" x="2506"/>
        <item x="120"/>
        <item x="525"/>
        <item x="1612"/>
        <item x="623"/>
        <item sd="0" x="1174"/>
        <item x="1294"/>
        <item sd="0" x="2483"/>
        <item x="688"/>
        <item x="1166"/>
        <item x="1730"/>
        <item x="431"/>
        <item x="1212"/>
        <item x="1364"/>
        <item x="350"/>
        <item sd="0" x="784"/>
        <item x="1793"/>
        <item x="618"/>
        <item sd="0" x="2100"/>
        <item x="794"/>
        <item x="1291"/>
        <item x="204"/>
        <item sd="0" x="2457"/>
        <item x="450"/>
        <item sd="0" x="159"/>
        <item x="1800"/>
        <item x="495"/>
        <item x="80"/>
        <item x="714"/>
        <item sd="0" x="1498"/>
        <item sd="0" x="646"/>
        <item sd="0" x="2366"/>
        <item x="1714"/>
        <item x="1616"/>
        <item x="1090"/>
        <item x="1624"/>
        <item sd="0" x="2423"/>
        <item x="84"/>
        <item sd="0" x="17"/>
        <item x="192"/>
        <item x="1719"/>
        <item sd="0" x="2328"/>
        <item x="679"/>
        <item sd="0" x="1259"/>
        <item sd="0" x="2201"/>
        <item x="1004"/>
        <item sd="0" x="2349"/>
        <item x="482"/>
        <item sd="0" x="2284"/>
        <item x="1218"/>
        <item sd="0" x="2217"/>
        <item sd="0" x="317"/>
        <item sd="0" x="2247"/>
        <item x="1461"/>
        <item sd="0" x="1609"/>
        <item x="680"/>
        <item sd="0" x="2462"/>
        <item x="551"/>
        <item x="1455"/>
        <item x="970"/>
        <item sd="0" x="2245"/>
        <item x="1373"/>
        <item x="1619"/>
        <item x="955"/>
        <item sd="0" x="415"/>
        <item sd="0" x="76"/>
        <item x="1669"/>
        <item x="162"/>
        <item sd="0" x="607"/>
        <item x="1105"/>
        <item sd="0" x="2514"/>
        <item x="1086"/>
        <item sd="0" x="2248"/>
        <item x="96"/>
        <item sd="0" x="2206"/>
        <item x="547"/>
        <item x="1964"/>
        <item sd="0" x="2126"/>
        <item x="1618"/>
        <item x="1516"/>
        <item sd="0" x="1909"/>
        <item sd="0" x="2276"/>
        <item sd="0" x="2379"/>
        <item sd="0" x="897"/>
        <item sd="0" x="1492"/>
        <item sd="0" x="1970"/>
        <item x="1219"/>
        <item sd="0" x="2138"/>
        <item sd="0" x="2214"/>
        <item sd="0" x="2330"/>
        <item x="78"/>
        <item x="1308"/>
        <item x="572"/>
        <item sd="0" x="1827"/>
        <item sd="0" x="1451"/>
        <item x="35"/>
        <item sd="0" x="2436"/>
        <item sd="0" x="2336"/>
        <item x="1040"/>
        <item x="718"/>
        <item sd="0" x="472"/>
        <item sd="0" x="2320"/>
        <item x="856"/>
        <item sd="0" x="1230"/>
        <item x="1837"/>
        <item x="105"/>
        <item sd="0" x="2262"/>
        <item x="933"/>
        <item x="1240"/>
        <item sd="0" x="412"/>
        <item x="2053"/>
        <item x="93"/>
        <item x="648"/>
        <item x="1846"/>
        <item sd="0" x="2529"/>
        <item x="934"/>
        <item x="1512"/>
        <item x="1883"/>
        <item x="1547"/>
        <item x="2054"/>
        <item sd="0" x="2389"/>
        <item sd="0" x="2233"/>
        <item x="1728"/>
        <item x="1161"/>
        <item x="1479"/>
        <item x="1097"/>
        <item x="702"/>
        <item sd="0" x="2513"/>
        <item x="137"/>
        <item sd="0" x="2496"/>
        <item sd="0" x="2472"/>
        <item sd="0" x="1122"/>
        <item sd="0" x="780"/>
        <item sd="0" x="2165"/>
        <item x="1023"/>
        <item sd="0" x="2426"/>
        <item sd="0" x="771"/>
        <item x="1767"/>
        <item sd="0" x="2468"/>
        <item x="2056"/>
        <item sd="0" x="390"/>
        <item sd="0" x="2362"/>
        <item sd="0" x="2428"/>
        <item x="1378"/>
        <item x="1252"/>
        <item sd="0" x="2278"/>
        <item sd="0" x="586"/>
        <item sd="0" x="2440"/>
        <item x="487"/>
        <item x="122"/>
        <item sd="0" x="902"/>
        <item sd="0" x="1921"/>
        <item x="1804"/>
        <item sd="0" x="367"/>
        <item x="1020"/>
        <item x="1643"/>
        <item x="1787"/>
        <item x="716"/>
        <item x="1833"/>
        <item sd="0" x="1934"/>
        <item sd="0" x="397"/>
        <item x="1720"/>
        <item sd="0" x="2306"/>
        <item x="1151"/>
        <item x="850"/>
        <item x="26"/>
        <item x="625"/>
        <item sd="0" x="2161"/>
        <item sd="0" x="2242"/>
        <item x="1173"/>
        <item x="1790"/>
        <item x="671"/>
        <item x="1215"/>
        <item x="1540"/>
        <item sd="0" x="41"/>
        <item x="1091"/>
        <item sd="0" x="660"/>
        <item sd="0" x="2081"/>
        <item x="20"/>
        <item sd="0" x="557"/>
        <item x="1474"/>
        <item sd="0" x="1118"/>
        <item x="1150"/>
        <item sd="0" x="1132"/>
        <item sd="0" x="895"/>
        <item sd="0" x="874"/>
        <item sd="0" x="40"/>
        <item x="922"/>
        <item sd="0" x="1944"/>
        <item x="342"/>
        <item sd="0" x="896"/>
        <item sd="0" x="1256"/>
        <item x="585"/>
        <item sd="0" x="2301"/>
        <item sd="0" x="2485"/>
        <item sd="0" x="2122"/>
        <item sd="0" x="420"/>
        <item x="1305"/>
        <item x="1254"/>
        <item sd="0" x="910"/>
        <item x="613"/>
        <item sd="0" x="2498"/>
        <item sd="0" x="2169"/>
        <item sd="0" x="2340"/>
        <item x="318"/>
        <item sd="0" x="127"/>
        <item x="803"/>
        <item sd="0" x="2238"/>
        <item x="563"/>
        <item sd="0" x="857"/>
        <item x="63"/>
        <item x="1886"/>
        <item sd="0" x="2187"/>
        <item sd="0" x="2374"/>
        <item sd="0" x="907"/>
        <item sd="0" x="2357"/>
        <item x="1636"/>
        <item sd="0" x="1740"/>
        <item x="1244"/>
        <item sd="0" x="2083"/>
        <item x="2046"/>
        <item sd="0" x="1975"/>
        <item sd="0" x="2321"/>
        <item x="894"/>
        <item sd="0" x="1485"/>
        <item sd="0" x="2494"/>
        <item x="1075"/>
        <item sd="0" x="2470"/>
        <item sd="0" x="2149"/>
        <item sd="0" x="2493"/>
        <item x="167"/>
        <item x="15"/>
        <item sd="0" x="2307"/>
        <item x="469"/>
        <item sd="0" x="2256"/>
        <item x="1136"/>
        <item x="1700"/>
        <item sd="0" x="2473"/>
        <item x="1621"/>
        <item x="1759"/>
        <item x="619"/>
        <item sd="0" x="778"/>
        <item x="1471"/>
        <item sd="0" x="1915"/>
        <item x="1199"/>
        <item x="47"/>
        <item sd="0" x="2420"/>
        <item sd="0" x="2181"/>
        <item sd="0" x="2270"/>
        <item x="1179"/>
        <item x="761"/>
        <item sd="0" x="1226"/>
        <item sd="0" x="1539"/>
        <item sd="0" x="2271"/>
        <item x="104"/>
        <item x="1176"/>
        <item x="1029"/>
        <item x="153"/>
        <item sd="0" x="2408"/>
        <item x="1127"/>
        <item sd="0" x="2222"/>
        <item sd="0" x="2397"/>
        <item x="580"/>
        <item x="169"/>
        <item x="598"/>
        <item x="70"/>
        <item sd="0" x="2092"/>
        <item x="524"/>
        <item sd="0" x="2305"/>
        <item x="1466"/>
        <item x="62"/>
        <item x="1791"/>
        <item x="597"/>
        <item x="1201"/>
        <item sd="0" x="2361"/>
        <item sd="0" x="2507"/>
        <item x="1083"/>
        <item x="705"/>
        <item x="746"/>
        <item sd="0" x="1584"/>
        <item sd="0" x="2094"/>
        <item sd="0" x="2281"/>
        <item x="1306"/>
        <item x="511"/>
        <item sd="0" x="2193"/>
        <item x="66"/>
        <item sd="0" x="2076"/>
        <item x="1757"/>
        <item sd="0" x="2455"/>
        <item x="1366"/>
        <item x="859"/>
        <item x="629"/>
        <item sd="0" x="1229"/>
        <item sd="0" x="2466"/>
        <item x="663"/>
        <item sd="0" x="2073"/>
        <item x="101"/>
        <item sd="0" x="1924"/>
        <item x="23"/>
        <item x="65"/>
        <item x="71"/>
        <item sd="0" x="2215"/>
        <item x="1165"/>
        <item x="609"/>
        <item sd="0" x="1162"/>
        <item sd="0" x="858"/>
        <item sd="0" x="422"/>
        <item x="1313"/>
        <item sd="0" x="2177"/>
        <item x="664"/>
        <item x="845"/>
        <item x="1550"/>
        <item x="507"/>
        <item x="2058"/>
        <item x="685"/>
        <item sd="0" x="2511"/>
        <item x="1828"/>
        <item sd="0" x="911"/>
        <item x="1247"/>
        <item sd="0" x="1676"/>
        <item sd="0" x="1514"/>
        <item x="1257"/>
        <item x="958"/>
        <item x="589"/>
        <item sd="0" x="2197"/>
        <item sd="0" x="2381"/>
        <item sd="0" x="570"/>
        <item sd="0" x="2501"/>
        <item sd="0" x="2198"/>
        <item x="1167"/>
        <item x="1985"/>
        <item x="535"/>
        <item x="855"/>
        <item x="650"/>
        <item sd="0" x="2371"/>
        <item x="564"/>
        <item sd="0" x="905"/>
        <item sd="0" x="567"/>
        <item sd="0" x="948"/>
        <item sd="0" x="1904"/>
        <item sd="0" x="1644"/>
        <item sd="0" x="1956"/>
        <item sd="0" x="2156"/>
        <item sd="0" x="2098"/>
        <item x="1041"/>
        <item sd="0" x="1745"/>
        <item sd="0" x="2325"/>
        <item x="311"/>
        <item x="961"/>
        <item sd="0" x="1287"/>
        <item sd="0" x="2275"/>
        <item x="872"/>
        <item x="709"/>
        <item sd="0" x="636"/>
        <item x="643"/>
        <item x="86"/>
        <item sd="0" x="2394"/>
        <item x="1705"/>
        <item sd="0" x="2348"/>
        <item sd="0" x="1310"/>
        <item sd="0" x="2204"/>
        <item x="838"/>
        <item sd="0" x="2141"/>
        <item sd="0" x="2477"/>
        <item sd="0" x="1605"/>
        <item sd="0" x="1917"/>
        <item sd="0" x="2086"/>
        <item sd="0" x="1293"/>
        <item sd="0" x="615"/>
        <item sd="0" x="2324"/>
        <item x="1152"/>
        <item x="824"/>
        <item sd="0" x="651"/>
        <item sd="0" x="1905"/>
        <item x="1089"/>
        <item x="1317"/>
        <item x="1692"/>
        <item sd="0" x="1495"/>
        <item sd="0" x="444"/>
        <item sd="0" x="2106"/>
        <item x="999"/>
        <item x="1292"/>
        <item x="529"/>
        <item sd="0" x="406"/>
        <item sd="0" x="2338"/>
        <item x="38"/>
        <item sd="0" x="2210"/>
        <item x="1271"/>
        <item x="1149"/>
        <item sd="0" x="1794"/>
        <item sd="0" x="2289"/>
        <item sd="0" x="2155"/>
        <item sd="0" x="2535"/>
        <item x="590"/>
        <item x="1131"/>
        <item x="337"/>
        <item x="600"/>
        <item x="1829"/>
        <item x="989"/>
        <item x="740"/>
        <item sd="0" x="2311"/>
        <item sd="0" x="2125"/>
        <item sd="0" x="2459"/>
        <item sd="0" x="1919"/>
        <item sd="0" x="2367"/>
        <item x="804"/>
        <item sd="0" x="2145"/>
        <item sd="0" x="2439"/>
        <item x="1129"/>
        <item x="1390"/>
        <item x="710"/>
        <item x="632"/>
        <item sd="0" x="1920"/>
        <item sd="0" x="2425"/>
        <item x="243"/>
        <item sd="0" x="2264"/>
        <item x="1309"/>
        <item x="1506"/>
        <item sd="0" x="2097"/>
        <item x="816"/>
        <item sd="0" x="1889"/>
        <item sd="0" x="2252"/>
        <item x="727"/>
        <item x="1299"/>
        <item sd="0" x="783"/>
        <item sd="0" x="1604"/>
        <item sd="0" x="2505"/>
        <item sd="0" x="396"/>
        <item sd="0" x="142"/>
        <item sd="0" x="2536"/>
        <item x="1243"/>
        <item x="1764"/>
        <item sd="0" x="2378"/>
        <item x="1457"/>
        <item x="542"/>
        <item x="474"/>
        <item sd="0" x="10"/>
        <item x="341"/>
        <item sd="0" x="481"/>
        <item x="1261"/>
        <item x="1613"/>
        <item sd="0" x="168"/>
        <item sd="0" x="2095"/>
        <item sd="0" x="1891"/>
        <item x="274"/>
        <item x="340"/>
        <item sd="0" x="631"/>
        <item sd="0" x="2405"/>
        <item sd="0" x="2172"/>
        <item sd="0" x="987"/>
        <item sd="0" x="2221"/>
        <item x="738"/>
        <item x="1145"/>
        <item sd="0" x="2398"/>
        <item sd="0" x="1518"/>
        <item x="956"/>
        <item sd="0" x="2329"/>
        <item sd="0" x="2372"/>
        <item sd="0" x="2363"/>
        <item sd="0" x="2402"/>
        <item sd="0" x="109"/>
        <item sd="0" x="2090"/>
        <item sd="0" x="2119"/>
        <item x="1188"/>
        <item x="1160"/>
        <item x="887"/>
        <item sd="0" x="2239"/>
        <item x="1989"/>
        <item sd="0" x="2133"/>
        <item sd="0" x="2386"/>
        <item x="602"/>
        <item x="1815"/>
        <item x="1798"/>
        <item sd="0" x="1892"/>
        <item x="1808"/>
        <item x="347"/>
        <item x="1365"/>
        <item sd="0" x="2299"/>
        <item sd="0" x="2229"/>
        <item sd="0" x="2390"/>
        <item x="744"/>
        <item sd="0" x="2327"/>
        <item x="1756"/>
        <item x="667"/>
        <item x="1715"/>
        <item sd="0" x="1974"/>
        <item x="1311"/>
        <item x="728"/>
        <item x="1262"/>
        <item x="549"/>
        <item sd="0" x="1588"/>
        <item x="2027"/>
        <item x="594"/>
        <item x="1648"/>
        <item x="1641"/>
        <item x="1452"/>
        <item sd="0" x="2259"/>
        <item sd="0" x="1681"/>
        <item sd="0" x="2103"/>
        <item sd="0" x="2484"/>
        <item sd="0" x="2267"/>
        <item sd="0" x="1980"/>
        <item x="52"/>
        <item sd="0" x="2384"/>
        <item sd="0" x="776"/>
        <item x="1503"/>
        <item x="1770"/>
        <item sd="0" x="2153"/>
        <item x="943"/>
        <item x="555"/>
        <item sd="0" x="1830"/>
        <item sd="0" x="1918"/>
        <item x="1697"/>
        <item sd="0" x="2399"/>
        <item x="1282"/>
        <item sd="0" x="959"/>
        <item x="313"/>
        <item x="1706"/>
        <item sd="0" x="1902"/>
        <item sd="0" x="2334"/>
        <item x="1024"/>
        <item x="1241"/>
        <item x="1278"/>
        <item sd="0" x="2409"/>
        <item sd="0" x="1477"/>
        <item x="1841"/>
        <item x="34"/>
        <item sd="0" x="2120"/>
        <item x="1783"/>
        <item x="114"/>
        <item sd="0" x="95"/>
        <item sd="0" x="1939"/>
        <item sd="0" x="767"/>
        <item x="1081"/>
        <item x="1835"/>
        <item x="937"/>
        <item x="1092"/>
        <item x="1307"/>
        <item sd="0" x="409"/>
        <item x="1844"/>
        <item sd="0" x="2434"/>
        <item x="1277"/>
        <item x="1154"/>
        <item sd="0" x="2368"/>
        <item x="1456"/>
        <item x="1505"/>
        <item sd="0" x="2354"/>
        <item sd="0" x="2089"/>
        <item sd="0" x="2184"/>
        <item x="471"/>
        <item x="98"/>
        <item x="8"/>
        <item sd="0" x="2244"/>
        <item x="2005"/>
        <item x="208"/>
        <item sd="0" x="2075"/>
        <item sd="0" x="2241"/>
        <item sd="0" x="2404"/>
        <item sd="0" x="1957"/>
        <item sd="0" x="2074"/>
        <item x="1551"/>
        <item sd="0" x="504"/>
        <item x="560"/>
        <item x="703"/>
        <item sd="0" x="1908"/>
        <item x="617"/>
        <item sd="0" x="2430"/>
        <item x="576"/>
        <item x="87"/>
        <item sd="0" x="2313"/>
        <item x="291"/>
        <item x="1615"/>
        <item sd="0" x="2218"/>
        <item sd="0" x="2475"/>
        <item sd="0" x="2207"/>
        <item sd="0" x="416"/>
        <item x="644"/>
        <item x="1758"/>
        <item sd="0" x="2534"/>
        <item x="29"/>
        <item sd="0" x="1973"/>
        <item sd="0" x="2234"/>
        <item sd="0" x="2319"/>
        <item x="278"/>
        <item x="1635"/>
        <item x="1746"/>
        <item sd="0" x="1952"/>
        <item x="873"/>
        <item sd="0" x="2418"/>
        <item sd="0" x="2109"/>
        <item x="1755"/>
        <item x="429"/>
        <item x="1398"/>
        <item x="861"/>
        <item sd="0" x="2449"/>
        <item sd="0" x="900"/>
        <item sd="0" x="411"/>
        <item x="1130"/>
        <item x="251"/>
        <item x="1061"/>
        <item sd="0" x="2523"/>
        <item sd="0" x="2412"/>
        <item sd="0" x="1923"/>
        <item sd="0" x="421"/>
        <item sd="0" x="2520"/>
        <item x="1750"/>
        <item sd="0" x="2376"/>
        <item x="1751"/>
        <item x="992"/>
        <item x="1631"/>
        <item x="1852"/>
        <item x="1270"/>
        <item x="1464"/>
        <item x="554"/>
        <item x="111"/>
        <item x="183"/>
        <item x="1210"/>
        <item sd="0" x="417"/>
        <item sd="0" x="2317"/>
        <item x="81"/>
        <item sd="0" x="2375"/>
        <item sd="0" x="2185"/>
        <item sd="0" x="2419"/>
        <item x="1450"/>
        <item sd="0" x="2129"/>
        <item sd="0" x="899"/>
        <item x="595"/>
        <item x="1147"/>
        <item x="1454"/>
        <item sd="0" x="2432"/>
        <item sd="0" x="2263"/>
        <item x="1112"/>
        <item sd="0" x="74"/>
        <item x="1037"/>
        <item sd="0" x="909"/>
        <item x="30"/>
        <item sd="0" x="1959"/>
        <item x="1116"/>
        <item sd="0" x="2490"/>
        <item x="976"/>
        <item sd="0" x="2387"/>
        <item x="1658"/>
        <item sd="0" x="2189"/>
        <item sd="0" x="1734"/>
        <item sd="0" x="2240"/>
        <item x="1087"/>
        <item x="1000"/>
        <item x="1511"/>
        <item x="240"/>
        <item x="1650"/>
        <item x="1065"/>
        <item sd="0" x="2118"/>
        <item x="884"/>
        <item sd="0" x="2213"/>
        <item sd="0" x="2309"/>
        <item x="606"/>
        <item x="1283"/>
        <item x="877"/>
        <item sd="0" x="2411"/>
        <item x="1712"/>
        <item x="1146"/>
        <item x="649"/>
        <item x="1224"/>
        <item x="604"/>
        <item sd="0" x="2323"/>
        <item x="1462"/>
        <item x="1880"/>
        <item x="2008"/>
        <item x="1509"/>
        <item sd="0" x="1910"/>
        <item sd="0" x="2224"/>
        <item x="1473"/>
        <item x="860"/>
        <item sd="0" x="611"/>
        <item x="1735"/>
        <item sd="0" x="2163"/>
        <item x="1304"/>
        <item sd="0" x="2456"/>
        <item x="1427"/>
        <item x="1825"/>
        <item x="1148"/>
        <item sd="0" x="383"/>
        <item x="1620"/>
        <item sd="0" x="908"/>
        <item x="1013"/>
        <item x="981"/>
        <item x="455"/>
        <item sd="0" x="901"/>
        <item x="1435"/>
        <item x="1785"/>
        <item x="5"/>
        <item x="190"/>
        <item x="2021"/>
        <item sd="0" x="2194"/>
        <item sd="0" x="2438"/>
        <item sd="0" x="2450"/>
        <item sd="0" x="2157"/>
        <item sd="0" x="2250"/>
        <item sd="0" x="2297"/>
        <item x="1544"/>
        <item x="151"/>
        <item sd="0" x="605"/>
        <item x="1721"/>
        <item sd="0" x="1903"/>
        <item x="1710"/>
        <item x="1733"/>
        <item x="112"/>
        <item x="1059"/>
        <item x="1133"/>
        <item sd="0" x="2406"/>
        <item sd="0" x="2332"/>
        <item sd="0" x="2448"/>
        <item x="559"/>
        <item sd="0" x="912"/>
        <item sd="0" x="1494"/>
        <item sd="0" x="2082"/>
        <item sd="0" x="2479"/>
        <item sd="0" x="2437"/>
        <item sd="0" x="2102"/>
        <item x="515"/>
        <item x="673"/>
        <item x="1689"/>
        <item x="61"/>
        <item x="59"/>
        <item sd="0" x="2312"/>
        <item x="1119"/>
        <item x="1274"/>
        <item x="722"/>
        <item x="980"/>
        <item x="1716"/>
        <item x="2002"/>
        <item x="125"/>
        <item x="747"/>
        <item sd="0" x="2261"/>
        <item sd="0" x="2099"/>
        <item x="641"/>
        <item x="228"/>
        <item sd="0" x="1596"/>
        <item x="865"/>
        <item x="995"/>
        <item x="1216"/>
        <item sd="0" x="1606"/>
        <item sd="0" x="388"/>
        <item x="1545"/>
        <item sd="0" x="2302"/>
        <item sd="0" x="387"/>
        <item x="930"/>
        <item sd="0" x="2461"/>
        <item x="1297"/>
        <item x="939"/>
        <item x="758"/>
        <item sd="0" x="97"/>
        <item x="1704"/>
        <item x="596"/>
        <item sd="0" x="2370"/>
        <item x="488"/>
        <item sd="0" x="2416"/>
        <item sd="0" x="2209"/>
        <item sd="0" x="2360"/>
        <item x="102"/>
        <item sd="0" x="1969"/>
        <item sd="0" x="2435"/>
        <item x="1749"/>
        <item x="1738"/>
        <item x="630"/>
        <item sd="0" x="2111"/>
        <item sd="0" x="2451"/>
        <item sd="0" x="766"/>
        <item x="1502"/>
        <item sd="0" x="2219"/>
        <item x="759"/>
        <item x="635"/>
        <item sd="0" x="1896"/>
        <item x="1449"/>
        <item x="1470"/>
        <item sd="0" x="2084"/>
        <item sd="0" x="1592"/>
        <item x="568"/>
        <item sd="0" x="1977"/>
        <item x="1982"/>
        <item sd="0" x="407"/>
        <item x="553"/>
        <item sd="0" x="2296"/>
        <item x="1102"/>
        <item x="1821"/>
        <item x="1981"/>
        <item sd="0" x="2446"/>
        <item sd="0" x="2107"/>
        <item sd="0" x="2443"/>
        <item x="184"/>
        <item sd="0" x="2232"/>
        <item x="107"/>
        <item x="951"/>
        <item x="1169"/>
        <item sd="0" x="2011"/>
        <item x="862"/>
        <item sd="0" x="538"/>
        <item sd="0" x="408"/>
        <item x="1813"/>
        <item sd="0" x="1888"/>
        <item x="1476"/>
        <item x="1128"/>
        <item sd="0" x="1913"/>
        <item sd="0" x="2071"/>
        <item sd="0" x="2166"/>
        <item x="329"/>
        <item x="90"/>
        <item sd="0" x="2277"/>
        <item x="338"/>
        <item sd="0" x="2478"/>
        <item sd="0" x="2414"/>
        <item sd="0" x="2396"/>
        <item sd="0" x="2274"/>
        <item x="1069"/>
        <item x="883"/>
        <item x="2031"/>
        <item x="1280"/>
        <item x="210"/>
        <item x="2061"/>
        <item x="1194"/>
        <item x="1510"/>
        <item sd="0" x="2318"/>
        <item x="978"/>
        <item sd="0" x="2310"/>
        <item x="1517"/>
        <item x="33"/>
        <item sd="0" x="2208"/>
        <item sd="0" x="2220"/>
        <item sd="0" x="2464"/>
        <item x="46"/>
        <item x="211"/>
        <item x="1231"/>
        <item x="1430"/>
        <item x="1617"/>
        <item sd="0" x="106"/>
        <item sd="0" x="1608"/>
        <item x="1213"/>
        <item sd="0" x="2167"/>
        <item x="1006"/>
        <item x="1649"/>
        <item x="1098"/>
        <item x="536"/>
        <item x="1232"/>
        <item x="264"/>
        <item sd="0" x="2152"/>
        <item x="984"/>
        <item x="532"/>
        <item sd="0" x="2096"/>
        <item sd="0" x="1966"/>
        <item sd="0" x="1569"/>
        <item x="601"/>
        <item sd="0" x="2476"/>
        <item sd="0" x="2182"/>
        <item sd="0" x="1603"/>
        <item sd="0" x="2458"/>
        <item sd="0" x="2216"/>
        <item sd="0" x="2421"/>
        <item sd="0" x="968"/>
        <item x="1126"/>
        <item x="203"/>
        <item x="1675"/>
        <item x="206"/>
        <item x="467"/>
        <item x="621"/>
        <item x="561"/>
        <item x="13"/>
        <item sd="0" x="2079"/>
        <item sd="0" x="2173"/>
        <item x="1314"/>
        <item x="1817"/>
        <item sd="0" x="2344"/>
        <item x="256"/>
        <item sd="0" x="2314"/>
        <item x="1504"/>
        <item x="113"/>
        <item x="1191"/>
        <item x="315"/>
        <item sd="0" x="1907"/>
        <item x="946"/>
        <item sd="0" x="2352"/>
        <item sd="0" x="2226"/>
        <item x="674"/>
        <item sd="0" x="1972"/>
        <item sd="0" x="2080"/>
        <item x="967"/>
        <item sd="0" x="2288"/>
        <item x="916"/>
        <item sd="0" x="2143"/>
        <item x="1192"/>
        <item sd="0" x="2395"/>
        <item x="638"/>
        <item x="633"/>
        <item sd="0" x="1897"/>
        <item sd="0" x="2351"/>
        <item x="2048"/>
        <item x="756"/>
        <item x="808"/>
        <item x="1814"/>
        <item x="1237"/>
        <item x="214"/>
        <item sd="0" x="1579"/>
        <item x="202"/>
        <item x="1432"/>
        <item sd="0" x="2128"/>
        <item x="949"/>
        <item sd="0" x="44"/>
        <item sd="0" x="2243"/>
        <item x="229"/>
        <item sd="0" x="2112"/>
        <item x="928"/>
        <item x="639"/>
        <item x="1463"/>
        <item x="11"/>
        <item sd="0" x="2444"/>
        <item x="825"/>
        <item sd="0" x="410"/>
        <item sd="0" x="1526"/>
        <item x="1269"/>
        <item x="1093"/>
        <item x="1633"/>
        <item x="1647"/>
        <item x="14"/>
        <item x="1106"/>
        <item x="1842"/>
        <item x="868"/>
        <item x="1460"/>
        <item sd="0" x="599"/>
        <item x="343"/>
        <item sd="0" x="627"/>
        <item x="864"/>
        <item x="1753"/>
        <item x="514"/>
        <item x="546"/>
        <item x="925"/>
        <item sd="0" x="2533"/>
        <item x="826"/>
        <item sd="0" x="2364"/>
        <item x="1316"/>
        <item x="642"/>
        <item sd="0" x="2134"/>
        <item x="1058"/>
        <item sd="0" x="2268"/>
        <item x="957"/>
        <item x="1113"/>
        <item x="1124"/>
        <item x="212"/>
        <item x="1736"/>
        <item x="2057"/>
        <item sd="0" x="540"/>
        <item x="1513"/>
        <item sd="0" x="1930"/>
        <item x="323"/>
        <item sd="0" x="834"/>
        <item x="1614"/>
        <item x="1080"/>
        <item sd="0" x="773"/>
        <item x="1797"/>
        <item x="85"/>
        <item x="1638"/>
        <item x="993"/>
        <item x="276"/>
        <item x="1737"/>
        <item x="757"/>
        <item sd="0" x="2192"/>
        <item x="1290"/>
        <item x="692"/>
        <item x="1180"/>
        <item x="1860"/>
        <item sd="0" x="384"/>
        <item x="1754"/>
        <item x="733"/>
        <item x="1752"/>
        <item x="717"/>
        <item sd="0" x="2168"/>
        <item x="219"/>
        <item x="2060"/>
        <item x="837"/>
        <item x="260"/>
        <item sd="0" x="2463"/>
        <item x="684"/>
        <item x="1630"/>
        <item x="2037"/>
        <item sd="0" x="368"/>
        <item x="1155"/>
        <item x="186"/>
        <item x="985"/>
        <item x="1225"/>
        <item sd="0" x="2105"/>
        <item x="754"/>
        <item x="974"/>
        <item x="1546"/>
        <item x="88"/>
        <item x="707"/>
        <item sd="0" x="404"/>
        <item x="750"/>
        <item x="556"/>
        <item x="1413"/>
        <item sd="0" x="2335"/>
        <item x="1107"/>
        <item x="2010"/>
        <item x="108"/>
        <item x="1632"/>
        <item sd="0" x="2101"/>
        <item sd="0" x="583"/>
        <item x="305"/>
        <item sd="0" x="2123"/>
        <item x="2042"/>
        <item x="1072"/>
        <item x="628"/>
        <item x="947"/>
        <item sd="0" x="2380"/>
        <item x="1853"/>
        <item x="1623"/>
        <item x="1865"/>
        <item x="1876"/>
        <item x="1475"/>
        <item sd="0" x="769"/>
        <item sd="0" x="2150"/>
        <item x="533"/>
        <item x="1879"/>
        <item x="1453"/>
        <item x="60"/>
        <item x="1200"/>
        <item x="1410"/>
        <item x="971"/>
        <item sd="0" x="1928"/>
        <item sd="0" x="1578"/>
        <item x="965"/>
        <item x="1137"/>
        <item x="64"/>
        <item sd="0" x="391"/>
        <item sd="0" x="2070"/>
        <item x="2015"/>
        <item x="962"/>
        <item x="1781"/>
        <item x="1996"/>
        <item sd="0" x="2093"/>
        <item x="1731"/>
        <item x="882"/>
        <item x="123"/>
        <item x="99"/>
        <item sd="0" x="2178"/>
        <item x="103"/>
        <item x="293"/>
        <item x="300"/>
        <item x="751"/>
        <item x="892"/>
        <item sd="0" x="389"/>
        <item x="1696"/>
        <item x="588"/>
        <item x="914"/>
        <item sd="0" x="1591"/>
        <item sd="0" x="2339"/>
        <item x="1870"/>
        <item x="665"/>
        <item x="310"/>
        <item sd="0" x="2228"/>
        <item x="936"/>
        <item x="241"/>
        <item sd="0" x="2158"/>
        <item sd="0" x="2059"/>
        <item x="537"/>
        <item x="1139"/>
        <item sd="0" x="2453"/>
        <item x="1181"/>
        <item x="309"/>
        <item sd="0" x="2235"/>
        <item x="812"/>
        <item sd="0" x="1978"/>
        <item x="637"/>
        <item x="1732"/>
        <item x="354"/>
        <item x="1245"/>
        <item x="612"/>
        <item sd="0" x="1572"/>
        <item x="1481"/>
        <item sd="0" x="1484"/>
        <item sd="0" x="765"/>
        <item x="1094"/>
        <item sd="0" x="2236"/>
        <item x="1678"/>
        <item x="1111"/>
        <item x="1142"/>
        <item x="1723"/>
        <item sd="0" x="1552"/>
        <item sd="0" x="2203"/>
        <item sd="0" x="2400"/>
        <item sd="0" x="2160"/>
        <item x="1385"/>
        <item x="875"/>
        <item x="1014"/>
        <item sd="0" x="1953"/>
        <item sd="0" x="1590"/>
        <item x="1008"/>
        <item x="1233"/>
        <item sd="0" x="2369"/>
        <item x="1143"/>
        <item sd="0" x="1895"/>
        <item sd="0" x="2137"/>
        <item sd="0" x="1960"/>
        <item sd="0" x="2091"/>
        <item x="1768"/>
        <item x="1195"/>
        <item x="1739"/>
        <item sd="0" x="1564"/>
        <item x="1324"/>
        <item sd="0" x="393"/>
        <item x="2034"/>
        <item sd="0" x="2212"/>
        <item x="979"/>
        <item x="603"/>
        <item x="1683"/>
        <item x="2018"/>
        <item x="591"/>
        <item x="1062"/>
        <item x="2039"/>
        <item x="6"/>
        <item x="36"/>
        <item sd="0" x="763"/>
        <item x="194"/>
        <item x="1695"/>
        <item x="55"/>
        <item x="1839"/>
        <item x="1999"/>
        <item x="737"/>
        <item x="261"/>
        <item x="1682"/>
        <item sd="0" x="1593"/>
        <item sd="0" x="2186"/>
        <item x="1134"/>
        <item x="2006"/>
        <item sd="0" x="2388"/>
        <item x="1159"/>
        <item x="272"/>
        <item x="1318"/>
        <item sd="0" x="1976"/>
        <item x="45"/>
        <item x="1988"/>
        <item x="1642"/>
        <item sd="0" x="1520"/>
        <item x="174"/>
        <item x="498"/>
        <item x="982"/>
        <item x="520"/>
        <item x="249"/>
        <item sd="0" x="1583"/>
        <item x="1399"/>
        <item x="299"/>
        <item x="7"/>
        <item x="813"/>
        <item x="823"/>
        <item sd="0" x="2225"/>
        <item x="1103"/>
        <item x="1263"/>
        <item x="2028"/>
        <item x="1458"/>
        <item x="191"/>
        <item sd="0" x="1574"/>
        <item x="1053"/>
        <item x="975"/>
        <item x="1640"/>
        <item x="333"/>
        <item x="1190"/>
        <item x="1239"/>
        <item sd="0" x="2078"/>
        <item x="1183"/>
        <item x="1228"/>
        <item x="1214"/>
        <item x="966"/>
        <item x="548"/>
        <item sd="0" x="2272"/>
        <item sd="0" x="1916"/>
        <item x="878"/>
        <item x="814"/>
        <item x="1018"/>
        <item x="242"/>
        <item sd="0" x="2135"/>
        <item x="1877"/>
        <item x="796"/>
        <item x="1117"/>
        <item x="530"/>
        <item x="1251"/>
        <item x="1744"/>
        <item sd="0" x="2175"/>
        <item sd="0" x="1906"/>
        <item sd="0" x="2255"/>
        <item sd="0" x="2251"/>
        <item x="1164"/>
        <item x="1424"/>
        <item x="239"/>
        <item sd="0" x="2287"/>
        <item sd="0" x="2077"/>
        <item x="889"/>
        <item x="1186"/>
        <item sd="0" x="413"/>
        <item x="2012"/>
        <item sd="0" x="1954"/>
        <item x="53"/>
        <item sd="0" x="2266"/>
        <item x="271"/>
        <item sd="0" x="2365"/>
        <item x="593"/>
        <item sd="0" x="2333"/>
        <item sd="0" x="2183"/>
        <item x="1703"/>
        <item x="1708"/>
        <item x="950"/>
        <item sd="0" x="990"/>
        <item sd="0" x="2454"/>
        <item x="1187"/>
        <item x="57"/>
        <item sd="0" x="2223"/>
        <item sd="0" x="285"/>
        <item x="303"/>
        <item sd="0" x="2295"/>
        <item x="1315"/>
        <item x="1993"/>
        <item x="3"/>
        <item x="1104"/>
        <item x="1421"/>
        <item x="1625"/>
        <item sd="0" x="2326"/>
        <item x="973"/>
        <item x="352"/>
        <item x="266"/>
        <item x="745"/>
        <item sd="0" x="1285"/>
        <item x="558"/>
        <item sd="0" x="1912"/>
        <item x="1114"/>
        <item x="199"/>
        <item x="543"/>
        <item x="478"/>
        <item x="1684"/>
        <item sd="0" x="1968"/>
        <item sd="0" x="1561"/>
        <item x="1782"/>
        <item x="755"/>
        <item sd="0" x="2502"/>
        <item x="1685"/>
        <item sd="0" x="1594"/>
        <item x="330"/>
        <item x="492"/>
        <item sd="0" x="1536"/>
        <item x="1223"/>
        <item x="1125"/>
        <item x="1862"/>
        <item x="1831"/>
        <item sd="0" x="2383"/>
        <item sd="0" x="1893"/>
        <item x="1321"/>
        <item x="54"/>
        <item x="68"/>
        <item sd="0" x="2140"/>
        <item x="977"/>
        <item x="753"/>
        <item x="846"/>
        <item x="2045"/>
        <item x="335"/>
        <item x="1328"/>
        <item x="188"/>
        <item sd="0" x="1585"/>
        <item sd="0" x="2108"/>
        <item x="545"/>
        <item x="996"/>
        <item sd="0" x="1971"/>
        <item x="1468"/>
        <item x="994"/>
        <item sd="0" x="1581"/>
        <item x="2049"/>
        <item sd="0" x="2246"/>
        <item x="924"/>
        <item x="881"/>
        <item x="1803"/>
        <item sd="0" x="2429"/>
        <item x="1687"/>
        <item x="1656"/>
        <item x="1377"/>
        <item x="1235"/>
        <item x="51"/>
        <item x="0"/>
        <item x="1110"/>
        <item x="289"/>
        <item x="725"/>
        <item x="752"/>
        <item sd="0" x="1559"/>
        <item x="1382"/>
        <item sd="0" x="2195"/>
        <item x="477"/>
        <item x="1250"/>
        <item x="491"/>
        <item sd="0" x="2308"/>
        <item x="1211"/>
        <item x="172"/>
        <item sd="0" x="1607"/>
        <item x="1857"/>
        <item sd="0" x="48"/>
        <item x="1047"/>
        <item x="286"/>
        <item x="16"/>
        <item x="634"/>
        <item x="28"/>
        <item sd="0" x="2142"/>
        <item x="1774"/>
        <item x="1416"/>
        <item x="297"/>
        <item sd="0" x="2298"/>
        <item x="1198"/>
        <item sd="0" x="2115"/>
        <item sd="0" x="2113"/>
        <item x="2014"/>
        <item x="418"/>
        <item sd="0" x="2407"/>
        <item x="1412"/>
        <item x="1258"/>
        <item x="1185"/>
        <item x="998"/>
        <item x="921"/>
        <item sd="0" x="2530"/>
        <item x="620"/>
        <item sd="0" x="2154"/>
        <item x="1863"/>
        <item x="245"/>
        <item sd="0" x="2136"/>
        <item x="1998"/>
        <item x="496"/>
        <item sd="0" x="1899"/>
        <item x="562"/>
        <item sd="0" x="2148"/>
        <item x="451"/>
        <item x="79"/>
        <item x="918"/>
        <item x="332"/>
        <item x="205"/>
        <item x="304"/>
        <item x="830"/>
        <item x="1347"/>
        <item x="2030"/>
        <item sd="0" x="2147"/>
        <item x="811"/>
        <item sd="0" x="1535"/>
        <item x="1661"/>
        <item x="550"/>
        <item x="732"/>
        <item x="867"/>
        <item x="829"/>
        <item x="348"/>
        <item x="1268"/>
        <item x="820"/>
        <item sd="0" x="1571"/>
        <item sd="0" x="1602"/>
        <item x="953"/>
        <item x="1729"/>
        <item x="425"/>
        <item sd="0" x="1560"/>
        <item x="312"/>
        <item x="1204"/>
        <item x="1358"/>
        <item x="890"/>
        <item x="704"/>
        <item x="1391"/>
        <item x="50"/>
        <item x="255"/>
        <item x="1873"/>
        <item sd="0" x="1490"/>
        <item x="938"/>
        <item x="587"/>
        <item sd="0" x="2085"/>
        <item x="1095"/>
        <item x="505"/>
        <item x="1"/>
        <item x="181"/>
        <item sd="0" x="1567"/>
        <item x="2032"/>
        <item x="626"/>
        <item sd="0" x="423"/>
        <item sd="0" x="2117"/>
        <item x="1662"/>
        <item x="1012"/>
        <item x="1248"/>
        <item x="1686"/>
        <item sd="0" x="2174"/>
        <item x="185"/>
        <item x="1221"/>
        <item x="56"/>
        <item sd="0" x="2159"/>
        <item x="1267"/>
        <item sd="0" x="2211"/>
        <item sd="0" x="903"/>
        <item x="512"/>
        <item x="238"/>
        <item sd="0" x="2162"/>
        <item sd="0" x="2130"/>
        <item x="842"/>
        <item x="833"/>
        <item sd="0" x="2260"/>
        <item x="844"/>
        <item x="1115"/>
        <item x="301"/>
        <item sd="0" x="2460"/>
        <item x="1645"/>
        <item x="592"/>
        <item x="1045"/>
        <item x="1341"/>
        <item sd="0" x="2188"/>
        <item x="2003"/>
        <item sd="0" x="419"/>
        <item sd="0" x="2164"/>
        <item x="227"/>
        <item sd="0" x="1519"/>
        <item x="1991"/>
        <item x="1786"/>
        <item x="913"/>
        <item sd="0" x="1587"/>
        <item x="888"/>
        <item x="1826"/>
        <item sd="0" x="1532"/>
        <item x="331"/>
        <item x="179"/>
        <item x="1044"/>
        <item x="1189"/>
        <item x="870"/>
        <item x="1414"/>
        <item sd="0" x="2064"/>
        <item x="224"/>
        <item sd="0"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sd="0"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sd="0" x="1589"/>
        <item sd="0" x="1575"/>
        <item x="479"/>
        <item x="349"/>
        <item x="1063"/>
        <item x="689"/>
        <item x="1344"/>
        <item sd="0" x="1577"/>
        <item x="696"/>
        <item x="499"/>
        <item sd="0" x="1557"/>
        <item x="1046"/>
        <item x="690"/>
        <item sd="0" x="1500"/>
        <item x="726"/>
        <item x="42"/>
        <item sd="0" x="1566"/>
        <item sd="0" x="2116"/>
        <item x="58"/>
        <item x="1246"/>
        <item x="534"/>
        <item sd="0" x="2131"/>
        <item x="326"/>
        <item x="234"/>
        <item x="21"/>
        <item x="952"/>
        <item x="1743"/>
        <item sd="0" x="2146"/>
        <item x="840"/>
        <item x="880"/>
        <item sd="0" x="1558"/>
        <item x="1042"/>
        <item x="729"/>
        <item x="221"/>
        <item sd="0" x="1554"/>
        <item x="1260"/>
        <item x="1741"/>
        <item x="248"/>
        <item x="1772"/>
        <item x="1823"/>
        <item sd="0" x="1499"/>
        <item x="1207"/>
        <item x="743"/>
        <item x="257"/>
        <item x="1822"/>
        <item x="334"/>
        <item x="1295"/>
        <item x="246"/>
        <item x="200"/>
        <item sd="0" x="2124"/>
        <item x="1071"/>
        <item x="1043"/>
        <item x="213"/>
        <item x="1459"/>
        <item x="2026"/>
        <item x="818"/>
        <item x="1789"/>
        <item x="1507"/>
        <item sd="0" x="2139"/>
        <item sd="0" x="906"/>
        <item sd="0" x="1523"/>
        <item x="1832"/>
        <item x="847"/>
        <item x="1182"/>
        <item x="1036"/>
        <item x="27"/>
        <item x="879"/>
        <item x="319"/>
        <item x="353"/>
        <item x="1875"/>
        <item sd="0" x="1525"/>
        <item x="1799"/>
        <item x="1995"/>
        <item x="810"/>
        <item x="1057"/>
        <item x="2007"/>
        <item x="1394"/>
        <item sd="0" x="2072"/>
        <item x="1693"/>
        <item x="748"/>
        <item x="502"/>
        <item x="1345"/>
        <item x="1066"/>
        <item x="1051"/>
        <item sd="0" x="1555"/>
        <item x="886"/>
        <item sd="0" x="2151"/>
        <item x="244"/>
        <item sd="0" x="1582"/>
        <item sd="0" x="405"/>
        <item x="941"/>
        <item sd="0" x="1563"/>
        <item x="1984"/>
        <item x="473"/>
        <item sd="0" x="777"/>
        <item x="252"/>
        <item x="296"/>
        <item sd="0" x="2144"/>
        <item x="237"/>
        <item x="1653"/>
        <item x="1659"/>
        <item x="871"/>
        <item x="182"/>
        <item x="697"/>
        <item x="1718"/>
        <item sd="0"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sd="0" x="2110"/>
        <item x="1986"/>
        <item x="1060"/>
        <item x="171"/>
        <item x="193"/>
        <item x="1848"/>
        <item x="1538"/>
        <item x="2004"/>
        <item x="1025"/>
        <item sd="0" x="1521"/>
        <item x="32"/>
        <item x="1784"/>
        <item x="287"/>
        <item sd="0"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sd="0" x="1562"/>
        <item x="346"/>
        <item x="1426"/>
        <item x="866"/>
        <item x="306"/>
        <item x="280"/>
        <item sd="0" x="2121"/>
        <item x="1694"/>
        <item x="715"/>
        <item x="1052"/>
        <item x="43"/>
        <item sd="0" x="2269"/>
        <item sd="0" x="788"/>
        <item x="1387"/>
        <item x="1872"/>
        <item x="1068"/>
        <item x="209"/>
        <item x="1627"/>
        <item x="189"/>
        <item x="2024"/>
        <item x="1856"/>
        <item sd="0" x="2170"/>
        <item x="18"/>
        <item sd="0"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sd="0" x="1527"/>
        <item sd="0" x="2114"/>
        <item x="724"/>
        <item sd="0"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sd="0" x="1610"/>
        <item x="1026"/>
        <item x="1423"/>
        <item sd="0" x="2347"/>
        <item x="1055"/>
        <item x="698"/>
        <item x="1415"/>
        <item sd="0"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sd="0" x="1599"/>
        <item x="1997"/>
        <item x="220"/>
        <item x="1871"/>
        <item x="1017"/>
        <item sd="0" x="1951"/>
        <item x="1849"/>
        <item sd="0"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sd="0" x="2417"/>
        <item x="1994"/>
        <item x="295"/>
        <item x="226"/>
        <item x="336"/>
        <item x="262"/>
        <item x="2017"/>
        <item x="1331"/>
        <item sd="0" x="1534"/>
        <item x="519"/>
        <item sd="0" x="1531"/>
        <item x="1874"/>
        <item x="544"/>
        <item x="4"/>
        <item x="279"/>
        <item x="328"/>
        <item sd="0" x="2088"/>
        <item x="1440"/>
        <item x="1352"/>
        <item sd="0"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sd="0" x="1568"/>
        <item x="1438"/>
        <item x="1184"/>
        <item x="1067"/>
        <item x="1157"/>
        <item x="1388"/>
        <item x="232"/>
        <item sd="0" x="1530"/>
        <item x="1334"/>
        <item x="215"/>
        <item x="915"/>
        <item x="1663"/>
        <item x="1878"/>
        <item x="1349"/>
        <item x="1400"/>
        <item x="466"/>
        <item x="1356"/>
        <item x="1402"/>
        <item sd="0"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sd="0" x="1522"/>
        <item x="1788"/>
        <item x="1380"/>
        <item x="1332"/>
        <item x="712"/>
        <item x="198"/>
        <item sd="0" x="2353"/>
        <item x="1340"/>
        <item sd="0" x="2486"/>
        <item x="1417"/>
        <item x="1660"/>
        <item x="1867"/>
        <item sd="0"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sd="0" x="1529"/>
        <item sd="0"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sd="0" x="1600"/>
        <item x="1652"/>
        <item x="1389"/>
        <item sd="0" x="1556"/>
        <item x="1359"/>
        <item sd="0" x="1524"/>
        <item x="1302"/>
        <item x="1348"/>
        <item x="1371"/>
        <item x="1361"/>
        <item x="1346"/>
        <item sd="0" x="1580"/>
        <item sd="0"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23">
        <item sd="0" x="121"/>
        <item sd="0" x="120"/>
        <item x="835"/>
        <item sd="0" x="1720"/>
        <item x="1279"/>
        <item sd="0" x="447"/>
        <item sd="0" x="1029"/>
        <item x="2040"/>
        <item x="730"/>
        <item sd="0" x="362"/>
        <item sd="0" x="2500"/>
        <item sd="0" x="808"/>
        <item sd="0" x="813"/>
        <item sd="0" x="403"/>
        <item x="1880"/>
        <item x="143"/>
        <item sd="0" x="1628"/>
        <item sd="0" x="2692"/>
        <item sd="0" x="365"/>
        <item sd="0" x="358"/>
        <item x="550"/>
        <item sd="0" x="144"/>
        <item x="1900"/>
        <item sd="0" x="1556"/>
        <item sd="0" x="1540"/>
        <item sd="0" x="148"/>
        <item x="161"/>
        <item sd="0" x="2012"/>
        <item sd="0" x="812"/>
        <item x="1032"/>
        <item x="1027"/>
        <item x="1284"/>
        <item x="516"/>
        <item sd="0" x="798"/>
        <item sd="0" x="2704"/>
        <item sd="0" x="800"/>
        <item sd="0" x="582"/>
        <item x="1924"/>
        <item sd="0" x="1797"/>
        <item x="2131"/>
        <item sd="0" x="501"/>
        <item sd="0" x="1729"/>
        <item x="742"/>
        <item sd="0" x="1538"/>
        <item sd="0" x="434"/>
        <item sd="0" x="2058"/>
        <item x="435"/>
        <item sd="0" x="1978"/>
        <item sd="0" x="373"/>
        <item sd="0" x="2712"/>
        <item sd="0" x="2653"/>
        <item sd="0" x="2017"/>
        <item sd="0" x="119"/>
        <item x="1863"/>
        <item sd="0" x="2668"/>
        <item sd="0" x="2150"/>
        <item sd="0" x="396"/>
        <item sd="0" x="810"/>
        <item sd="0" x="678"/>
        <item x="1476"/>
        <item sd="0" x="491"/>
        <item sd="0" x="1545"/>
        <item sd="0" x="784"/>
        <item x="1945"/>
        <item sd="0" x="2530"/>
        <item x="1693"/>
        <item sd="0" x="2687"/>
        <item x="1268"/>
        <item sd="0" x="123"/>
        <item sd="0" x="361"/>
        <item sd="0" x="1543"/>
        <item sd="0" x="1028"/>
        <item x="1828"/>
        <item x="661"/>
        <item x="1243"/>
        <item sd="0" x="381"/>
        <item x="1175"/>
        <item sd="0" x="401"/>
        <item sd="0" x="786"/>
        <item x="2156"/>
        <item sd="0" x="31"/>
        <item x="1905"/>
        <item sd="0" x="2658"/>
        <item sd="0" x="508"/>
        <item sd="0" x="140"/>
        <item sd="0" x="2454"/>
        <item x="1701"/>
        <item sd="0" x="393"/>
        <item sd="0" x="1977"/>
        <item x="448"/>
        <item x="666"/>
        <item sd="0" x="2720"/>
        <item sd="0" x="1651"/>
        <item x="1107"/>
        <item sd="0" x="2197"/>
        <item x="2085"/>
        <item sd="0" x="2"/>
        <item x="1592"/>
        <item sd="0" x="2472"/>
        <item sd="0" x="2566"/>
        <item sd="0" x="384"/>
        <item x="136"/>
        <item x="1709"/>
        <item x="456"/>
        <item sd="0" x="2721"/>
        <item x="180"/>
        <item sd="0" x="1637"/>
        <item sd="0" x="2004"/>
        <item x="83"/>
        <item sd="0" x="1996"/>
        <item sd="0" x="580"/>
        <item sd="0" x="782"/>
        <item sd="0" x="1783"/>
        <item x="1325"/>
        <item x="459"/>
        <item sd="0" x="376"/>
        <item x="453"/>
        <item sd="0" x="363"/>
        <item sd="0" x="407"/>
        <item sd="0" x="379"/>
        <item x="1722"/>
        <item x="1326"/>
        <item x="1779"/>
        <item x="1023"/>
        <item sd="0" x="383"/>
        <item x="1943"/>
        <item sd="0" x="827"/>
        <item sd="0" x="2401"/>
        <item x="1869"/>
        <item sd="0" x="801"/>
        <item x="551"/>
        <item sd="0" x="2267"/>
        <item sd="0" x="809"/>
        <item sd="0" x="1553"/>
        <item sd="0" x="656"/>
        <item x="1938"/>
        <item sd="0" x="2490"/>
        <item sd="0" x="1714"/>
        <item sd="0" x="2708"/>
        <item sd="0" x="790"/>
        <item sd="0" x="791"/>
        <item x="691"/>
        <item sd="0" x="644"/>
        <item sd="0" x="1950"/>
        <item x="2041"/>
        <item x="1688"/>
        <item x="1065"/>
        <item x="711"/>
        <item sd="0" x="2276"/>
        <item x="845"/>
        <item x="537"/>
        <item x="651"/>
        <item x="74"/>
        <item sd="0" x="2393"/>
        <item x="684"/>
        <item sd="0" x="1537"/>
        <item sd="0" x="1993"/>
        <item sd="0" x="135"/>
        <item sd="0" x="2539"/>
        <item sd="0" x="1989"/>
        <item x="2127"/>
        <item x="141"/>
        <item sd="0" x="378"/>
        <item x="520"/>
        <item x="1492"/>
        <item sd="0" x="372"/>
        <item sd="0" x="2023"/>
        <item x="2128"/>
        <item sd="0" x="2473"/>
        <item x="68"/>
        <item x="1006"/>
        <item sd="0" x="1618"/>
        <item sd="0" x="1209"/>
        <item sd="0" x="1539"/>
        <item x="778"/>
        <item sd="0" x="1012"/>
        <item x="665"/>
        <item sd="0" x="1615"/>
        <item x="1851"/>
        <item x="667"/>
        <item x="1934"/>
        <item sd="0" x="94"/>
        <item sd="0" x="1542"/>
        <item x="15"/>
        <item x="688"/>
        <item x="1564"/>
        <item x="95"/>
        <item x="1218"/>
        <item x="761"/>
        <item sd="0" x="1621"/>
        <item sd="0" x="2367"/>
        <item x="1721"/>
        <item sd="0" x="377"/>
        <item sd="0" x="2489"/>
        <item x="1603"/>
        <item sd="0" x="2678"/>
        <item x="652"/>
        <item sd="0" x="1878"/>
        <item sd="0" x="2716"/>
        <item sd="0" x="2468"/>
        <item sd="0" x="1534"/>
        <item x="1822"/>
        <item sd="0" x="2305"/>
        <item x="1815"/>
        <item sd="0" x="2162"/>
        <item x="1357"/>
        <item x="1052"/>
        <item sd="0" x="806"/>
        <item x="819"/>
        <item x="2070"/>
        <item sd="0" x="457"/>
        <item x="1777"/>
        <item x="825"/>
        <item x="475"/>
        <item sd="0" x="804"/>
        <item sd="0" x="2120"/>
        <item sd="0" x="1974"/>
        <item x="1439"/>
        <item x="1902"/>
        <item sd="0" x="2702"/>
        <item x="874"/>
        <item sd="0" x="1633"/>
        <item sd="0" x="2233"/>
        <item sd="0" x="1995"/>
        <item x="529"/>
        <item sd="0" x="775"/>
        <item sd="0" x="1196"/>
        <item x="696"/>
        <item x="1024"/>
        <item sd="0" x="926"/>
        <item sd="0" x="2351"/>
        <item sd="0" x="1643"/>
        <item sd="0" x="2462"/>
        <item sd="0" x="821"/>
        <item x="981"/>
        <item sd="0" x="1964"/>
        <item sd="0" x="2200"/>
        <item x="1352"/>
        <item sd="0" x="2302"/>
        <item x="1287"/>
        <item x="681"/>
        <item x="1030"/>
        <item sd="0" x="2663"/>
        <item sd="0" x="1645"/>
        <item x="451"/>
        <item sd="0" x="380"/>
        <item x="1759"/>
        <item sd="0" x="1617"/>
        <item sd="0" x="1973"/>
        <item sd="0" x="430"/>
        <item x="122"/>
        <item x="702"/>
        <item x="1862"/>
        <item sd="0" x="1971"/>
        <item sd="0" x="1549"/>
        <item sd="0" x="2427"/>
        <item x="982"/>
        <item sd="0" x="2583"/>
        <item sd="0" x="815"/>
        <item sd="0" x="2595"/>
        <item x="1692"/>
        <item sd="0" x="156"/>
        <item x="2123"/>
        <item sd="0" x="2588"/>
        <item x="1219"/>
        <item sd="0" x="2645"/>
        <item sd="0" x="2047"/>
        <item x="152"/>
        <item sd="0" x="433"/>
        <item sd="0" x="2577"/>
        <item x="1602"/>
        <item x="1185"/>
        <item x="531"/>
        <item x="1105"/>
        <item sd="0" x="2015"/>
        <item sd="0" x="2679"/>
        <item x="717"/>
        <item sd="0" x="2477"/>
        <item x="1162"/>
        <item x="1764"/>
        <item x="1848"/>
        <item sd="0" x="1544"/>
        <item sd="0" x="2273"/>
        <item sd="0" x="1999"/>
        <item sd="0" x="1261"/>
        <item x="1111"/>
        <item sd="0" x="2661"/>
        <item sd="0" x="2353"/>
        <item x="662"/>
        <item sd="0" x="1608"/>
        <item sd="0" x="2572"/>
        <item x="900"/>
        <item sd="0" x="1616"/>
        <item x="50"/>
        <item sd="0" x="1594"/>
        <item x="1015"/>
        <item x="496"/>
        <item x="1360"/>
        <item x="1459"/>
        <item sd="0" x="440"/>
        <item x="1750"/>
        <item x="1850"/>
        <item x="1844"/>
        <item x="612"/>
        <item sd="0" x="933"/>
        <item sd="0" x="1770"/>
        <item x="676"/>
        <item x="103"/>
        <item x="1680"/>
        <item x="138"/>
        <item sd="0" x="1641"/>
        <item x="53"/>
        <item x="1213"/>
        <item x="626"/>
        <item sd="0" x="2341"/>
        <item sd="0" x="387"/>
        <item sd="0" x="2358"/>
        <item x="1106"/>
        <item sd="0" x="1532"/>
        <item sd="0" x="2178"/>
        <item x="643"/>
        <item sd="0" x="1343"/>
        <item x="232"/>
        <item x="988"/>
        <item x="1752"/>
        <item x="617"/>
        <item x="114"/>
        <item x="1748"/>
        <item sd="0" x="673"/>
        <item x="251"/>
        <item x="1044"/>
        <item sd="0" x="2005"/>
        <item x="1751"/>
        <item sd="0" x="1546"/>
        <item sd="0" x="2163"/>
        <item sd="0" x="2293"/>
        <item sd="0" x="2681"/>
        <item x="1825"/>
        <item sd="0" x="2242"/>
        <item x="1060"/>
        <item sd="0" x="779"/>
        <item x="751"/>
        <item sd="0" x="415"/>
        <item x="670"/>
        <item x="1409"/>
        <item sd="0" x="2011"/>
        <item sd="0" x="2362"/>
        <item x="1946"/>
        <item x="1821"/>
        <item sd="0" x="1998"/>
        <item sd="0" x="2277"/>
        <item x="1816"/>
        <item x="1561"/>
        <item sd="0" x="1354"/>
        <item sd="0" x="2333"/>
        <item sd="0" x="2403"/>
        <item sd="0" x="1997"/>
        <item x="945"/>
        <item sd="0" x="179"/>
        <item x="1802"/>
        <item x="2133"/>
        <item sd="0" x="882"/>
        <item sd="0" x="2377"/>
        <item sd="0" x="1986"/>
        <item sd="0" x="1653"/>
        <item x="957"/>
        <item x="737"/>
        <item x="713"/>
        <item x="1515"/>
        <item x="452"/>
        <item x="1004"/>
        <item x="205"/>
        <item sd="0" x="76"/>
        <item sd="0" x="2557"/>
        <item sd="0" x="2422"/>
        <item sd="0" x="2337"/>
        <item x="153"/>
        <item sd="0" x="2570"/>
        <item sd="0" x="2486"/>
        <item sd="0" x="2455"/>
        <item x="1061"/>
        <item x="1117"/>
        <item x="762"/>
        <item x="618"/>
        <item x="588"/>
        <item x="493"/>
        <item sd="0" x="1259"/>
        <item sd="0" x="672"/>
        <item x="1757"/>
        <item sd="0" x="90"/>
        <item x="1835"/>
        <item sd="0" x="9"/>
        <item sd="0" x="1535"/>
        <item sd="0" x="1574"/>
        <item sd="0" x="2535"/>
        <item sd="0" x="29"/>
        <item x="484"/>
        <item x="1737"/>
        <item x="1414"/>
        <item x="1944"/>
        <item x="980"/>
        <item x="905"/>
        <item x="1359"/>
        <item x="579"/>
        <item x="650"/>
        <item sd="0" x="2192"/>
        <item x="1861"/>
        <item sd="0" x="2360"/>
        <item x="689"/>
        <item x="1164"/>
        <item x="987"/>
        <item x="254"/>
        <item sd="0" x="2165"/>
        <item sd="0" x="924"/>
        <item x="1090"/>
        <item x="859"/>
        <item sd="0" x="2671"/>
        <item sd="0" x="151"/>
        <item x="680"/>
        <item x="1330"/>
        <item sd="0" x="163"/>
        <item sd="0" x="1323"/>
        <item sd="0" x="2308"/>
        <item sd="0" x="2699"/>
        <item sd="0" x="2190"/>
        <item x="573"/>
        <item sd="0" x="2707"/>
        <item x="1050"/>
        <item x="1595"/>
        <item x="780"/>
        <item x="706"/>
        <item x="2107"/>
        <item x="1565"/>
        <item sd="0" x="836"/>
        <item sd="0" x="1654"/>
        <item sd="0" x="2396"/>
        <item sd="0" x="2274"/>
        <item x="1420"/>
        <item sd="0" x="2685"/>
        <item sd="0" x="1178"/>
        <item x="1891"/>
        <item sd="0" x="1962"/>
        <item sd="0" x="2170"/>
        <item sd="0" x="441"/>
        <item x="642"/>
        <item x="1212"/>
        <item x="1669"/>
        <item x="1346"/>
        <item sd="0" x="783"/>
        <item x="893"/>
        <item x="657"/>
        <item x="562"/>
        <item sd="0" x="1536"/>
        <item sd="0" x="2413"/>
        <item x="502"/>
        <item x="1179"/>
        <item sd="0" x="2424"/>
        <item x="1730"/>
        <item sd="0" x="1154"/>
        <item sd="0" x="1541"/>
        <item x="1229"/>
        <item sd="0" x="426"/>
        <item x="663"/>
        <item sd="0" x="2172"/>
        <item x="1046"/>
        <item sd="0" x="805"/>
        <item x="1856"/>
        <item sd="0" x="2226"/>
        <item sd="0" x="2706"/>
        <item sd="0" x="431"/>
        <item sd="0" x="1983"/>
        <item sd="0" x="2617"/>
        <item sd="0" x="1644"/>
        <item x="480"/>
        <item sd="0" x="2677"/>
        <item x="732"/>
        <item x="1726"/>
        <item sd="0" x="1238"/>
        <item x="1045"/>
        <item x="63"/>
        <item sd="0" x="2507"/>
        <item sd="0" x="2654"/>
        <item x="1832"/>
        <item x="1341"/>
        <item x="1818"/>
        <item x="1525"/>
        <item x="1557"/>
        <item sd="0" x="669"/>
        <item x="1941"/>
        <item x="777"/>
        <item sd="0" x="1299"/>
        <item x="1517"/>
        <item sd="0" x="1245"/>
        <item sd="0" x="360"/>
        <item x="1374"/>
        <item x="139"/>
        <item sd="0" x="1582"/>
        <item sd="0" x="2428"/>
        <item sd="0" x="931"/>
        <item x="1478"/>
        <item sd="0" x="2350"/>
        <item sd="0" x="928"/>
        <item x="1356"/>
        <item x="763"/>
        <item x="1191"/>
        <item sd="0" x="811"/>
        <item sd="0" x="2035"/>
        <item sd="0" x="1959"/>
        <item sd="0" x="1957"/>
        <item x="545"/>
        <item sd="0" x="2018"/>
        <item sd="0" x="247"/>
        <item x="641"/>
        <item sd="0" x="2202"/>
        <item x="1039"/>
        <item x="1849"/>
        <item sd="0" x="1952"/>
        <item sd="0" x="2537"/>
        <item x="1392"/>
        <item x="1130"/>
        <item sd="0" x="2508"/>
        <item sd="0" x="1640"/>
        <item x="1689"/>
        <item sd="0" x="2218"/>
        <item x="1520"/>
        <item sd="0" x="1607"/>
        <item sd="0" x="1970"/>
        <item x="2108"/>
        <item x="2117"/>
        <item x="647"/>
        <item x="70"/>
        <item x="572"/>
        <item x="1860"/>
        <item x="571"/>
        <item sd="0" x="1652"/>
        <item sd="0" x="822"/>
        <item sd="0" x="2686"/>
        <item x="133"/>
        <item sd="0" x="2180"/>
        <item x="1280"/>
        <item x="1309"/>
        <item sd="0" x="1753"/>
        <item sd="0" x="789"/>
        <item sd="0" x="2199"/>
        <item sd="0" x="841"/>
        <item x="464"/>
        <item x="1768"/>
        <item x="1940"/>
        <item sd="0" x="2484"/>
        <item x="899"/>
        <item sd="0" x="2255"/>
        <item sd="0" x="2665"/>
        <item sd="0" x="2453"/>
        <item sd="0" x="134"/>
        <item sd="0" x="2607"/>
        <item x="445"/>
        <item x="1055"/>
        <item sd="0" x="386"/>
        <item sd="0" x="1038"/>
        <item x="584"/>
        <item x="917"/>
        <item x="984"/>
        <item sd="0" x="2633"/>
        <item sd="0" x="2563"/>
        <item x="78"/>
        <item sd="0" x="2464"/>
        <item sd="0" x="2418"/>
        <item x="1371"/>
        <item x="998"/>
        <item x="1170"/>
        <item x="1772"/>
        <item x="1072"/>
        <item x="865"/>
        <item x="1812"/>
        <item x="1155"/>
        <item x="902"/>
        <item x="1854"/>
        <item sd="0" x="492"/>
        <item x="1131"/>
        <item x="554"/>
        <item x="476"/>
        <item x="773"/>
        <item x="576"/>
        <item x="1186"/>
        <item sd="0" x="410"/>
        <item x="1942"/>
        <item x="615"/>
        <item sd="0" x="104"/>
        <item x="1858"/>
        <item x="1866"/>
        <item sd="0" x="1765"/>
        <item x="1083"/>
        <item sd="0" x="2481"/>
        <item sd="0" x="388"/>
        <item sd="0" x="2412"/>
        <item sd="0" x="2188"/>
        <item sd="0" x="2560"/>
        <item sd="0" x="1953"/>
        <item x="623"/>
        <item sd="0" x="934"/>
        <item sd="0" x="2542"/>
        <item x="1076"/>
        <item x="1157"/>
        <item sd="0" x="375"/>
        <item x="82"/>
        <item x="1665"/>
        <item sd="0" x="2676"/>
        <item sd="0" x="1583"/>
        <item x="1686"/>
        <item x="1778"/>
        <item x="986"/>
        <item sd="0" x="2425"/>
        <item x="79"/>
        <item sd="0" x="2376"/>
        <item x="1570"/>
        <item x="317"/>
        <item x="208"/>
        <item x="1064"/>
        <item sd="0" x="785"/>
        <item x="1743"/>
        <item sd="0" x="1318"/>
        <item x="1939"/>
        <item sd="0" x="2562"/>
        <item sd="0" x="2275"/>
        <item x="603"/>
        <item x="291"/>
        <item sd="0" x="99"/>
        <item x="1699"/>
        <item x="2143"/>
        <item sd="0" x="428"/>
        <item sd="0" x="2630"/>
        <item sd="0" x="2463"/>
        <item x="1685"/>
        <item x="1355"/>
        <item sd="0" x="2121"/>
        <item sd="0" x="2444"/>
        <item x="1181"/>
        <item sd="0" x="2394"/>
        <item sd="0" x="2388"/>
        <item sd="0" x="1591"/>
        <item sd="0" x="2248"/>
        <item x="1870"/>
        <item x="204"/>
        <item sd="0" x="2395"/>
        <item sd="0" x="2169"/>
        <item x="1890"/>
        <item x="961"/>
        <item sd="0" x="1619"/>
        <item sd="0" x="683"/>
        <item x="38"/>
        <item sd="0" x="645"/>
        <item x="1329"/>
        <item x="1471"/>
        <item x="695"/>
        <item sd="0" x="2173"/>
        <item sd="0" x="311"/>
        <item x="1327"/>
        <item x="595"/>
        <item x="712"/>
        <item sd="0" x="2048"/>
        <item sd="0" x="17"/>
        <item sd="0" x="2701"/>
        <item x="1690"/>
        <item sd="0" x="823"/>
        <item x="1289"/>
        <item x="1140"/>
        <item x="1281"/>
        <item sd="0" x="941"/>
        <item x="1278"/>
        <item x="1332"/>
        <item sd="0" x="2451"/>
        <item x="1597"/>
        <item x="570"/>
        <item x="1014"/>
        <item x="1234"/>
        <item sd="0" x="655"/>
        <item x="248"/>
        <item x="1754"/>
        <item x="585"/>
        <item sd="0" x="1650"/>
        <item x="479"/>
        <item x="653"/>
        <item x="894"/>
        <item x="1363"/>
        <item x="314"/>
        <item x="308"/>
        <item x="485"/>
        <item sd="0" x="1961"/>
        <item sd="0" x="1340"/>
        <item x="322"/>
        <item x="770"/>
        <item x="60"/>
        <item x="1000"/>
        <item x="1469"/>
        <item sd="0" x="2469"/>
        <item sd="0" x="2565"/>
        <item sd="0" x="1972"/>
        <item sd="0" x="2391"/>
        <item x="1058"/>
        <item sd="0" x="2389"/>
        <item sd="0" x="794"/>
        <item sd="0"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sd="0" x="1630"/>
        <item sd="0" x="716"/>
        <item sd="0" x="878"/>
        <item sd="0" x="1579"/>
        <item sd="0" x="1990"/>
        <item x="1852"/>
        <item sd="0" x="2330"/>
        <item sd="0" x="820"/>
        <item sd="0" x="929"/>
        <item x="1671"/>
        <item sd="0" x="2523"/>
        <item sd="0" x="1965"/>
        <item sd="0" x="2709"/>
        <item x="1056"/>
        <item sd="0" x="419"/>
        <item x="677"/>
        <item x="1911"/>
        <item x="1120"/>
        <item x="884"/>
        <item sd="0" x="1991"/>
        <item x="1184"/>
        <item x="1171"/>
        <item x="1043"/>
        <item x="535"/>
        <item sd="0" x="2355"/>
        <item sd="0" x="1428"/>
        <item sd="0" x="1960"/>
        <item sd="0" x="290"/>
        <item sd="0" x="2304"/>
        <item x="1258"/>
        <item x="1180"/>
        <item sd="0" x="817"/>
        <item sd="0" x="2400"/>
        <item x="313"/>
        <item sd="0" x="2449"/>
        <item x="1246"/>
        <item x="720"/>
        <item x="2064"/>
        <item x="963"/>
        <item sd="0" x="2550"/>
        <item x="458"/>
        <item x="953"/>
        <item x="197"/>
        <item x="600"/>
        <item x="613"/>
        <item sd="0" x="2334"/>
        <item x="2102"/>
        <item x="1475"/>
        <item x="564"/>
        <item x="1187"/>
        <item x="347"/>
        <item sd="0" x="1300"/>
        <item x="215"/>
        <item sd="0" x="2717"/>
        <item sd="0" x="2672"/>
        <item sd="0" x="2691"/>
        <item sd="0" x="1145"/>
        <item x="1864"/>
        <item x="1948"/>
        <item sd="0" x="2278"/>
        <item x="768"/>
        <item x="692"/>
        <item sd="0" x="2533"/>
        <item x="916"/>
        <item x="1662"/>
        <item sd="0" x="885"/>
        <item x="131"/>
        <item x="1504"/>
        <item x="601"/>
        <item x="325"/>
        <item sd="0" x="2009"/>
        <item x="1762"/>
        <item sd="0" x="2282"/>
        <item sd="0" x="2235"/>
        <item x="164"/>
        <item x="1455"/>
        <item x="664"/>
        <item sd="0" x="2375"/>
        <item x="832"/>
        <item x="1334"/>
        <item x="646"/>
        <item x="108"/>
        <item sd="0" x="2195"/>
        <item x="1066"/>
        <item sd="0" x="2193"/>
        <item x="233"/>
        <item sd="0" x="2470"/>
        <item sd="0" x="2020"/>
        <item x="1121"/>
        <item sd="0" x="1192"/>
        <item sd="0" x="2511"/>
        <item x="1847"/>
        <item x="1063"/>
        <item x="1232"/>
        <item x="1842"/>
        <item x="1165"/>
        <item x="1141"/>
        <item sd="0" x="1604"/>
        <item sd="0" x="2662"/>
        <item sd="0" x="1296"/>
        <item sd="0" x="2621"/>
        <item x="1696"/>
        <item x="186"/>
        <item sd="0" x="2471"/>
        <item sd="0" x="2601"/>
        <item sd="0" x="1968"/>
        <item x="1496"/>
        <item x="125"/>
        <item x="1760"/>
        <item sd="0" x="2032"/>
        <item sd="0" x="2580"/>
        <item sd="0" x="635"/>
        <item x="1776"/>
        <item sd="0" x="2646"/>
        <item x="1018"/>
        <item x="1113"/>
        <item x="1738"/>
        <item sd="0" x="2423"/>
        <item x="1712"/>
        <item sd="0" x="371"/>
        <item sd="0" x="1447"/>
        <item x="729"/>
        <item x="1071"/>
        <item x="191"/>
        <item sd="0" x="1657"/>
        <item x="1749"/>
        <item x="354"/>
        <item x="1704"/>
        <item sd="0" x="1586"/>
        <item x="1099"/>
        <item x="1823"/>
        <item x="1026"/>
        <item x="1365"/>
        <item x="1266"/>
        <item sd="0" x="788"/>
        <item sd="0" x="1042"/>
        <item sd="0" x="2627"/>
        <item x="879"/>
        <item sd="0" x="2272"/>
        <item x="974"/>
        <item sd="0" x="1129"/>
        <item x="1505"/>
        <item sd="0" x="2024"/>
        <item x="776"/>
        <item sd="0" x="2287"/>
        <item x="1003"/>
        <item x="1265"/>
        <item x="1123"/>
        <item x="1364"/>
        <item x="2069"/>
        <item x="442"/>
        <item sd="0" x="2502"/>
        <item x="634"/>
        <item x="1324"/>
        <item x="1244"/>
        <item x="1806"/>
        <item sd="0" x="2203"/>
        <item sd="0" x="2450"/>
        <item x="1766"/>
        <item sd="0" x="2675"/>
        <item x="56"/>
        <item x="1328"/>
        <item sd="0" x="1551"/>
        <item sd="0" x="2294"/>
        <item sd="0" x="1626"/>
        <item sd="0" x="2651"/>
        <item sd="0" x="2582"/>
        <item x="714"/>
        <item sd="0" x="2497"/>
        <item x="469"/>
        <item x="34"/>
        <item sd="0" x="1648"/>
        <item sd="0" x="73"/>
        <item sd="0" x="2441"/>
        <item x="1311"/>
        <item sd="0" x="1548"/>
        <item sd="0" x="2598"/>
        <item sd="0" x="2206"/>
        <item sd="0" x="359"/>
        <item x="210"/>
        <item sd="0" x="2214"/>
        <item x="1434"/>
        <item x="1007"/>
        <item x="1598"/>
        <item x="244"/>
        <item x="500"/>
        <item x="679"/>
        <item x="1763"/>
        <item sd="0" x="1976"/>
        <item sd="0" x="2000"/>
        <item x="1659"/>
        <item sd="0" x="2224"/>
        <item sd="0" x="470"/>
        <item x="1915"/>
        <item sd="0" x="2622"/>
        <item x="96"/>
        <item x="1344"/>
        <item x="705"/>
        <item x="1528"/>
        <item sd="0" x="693"/>
        <item x="901"/>
        <item sd="0" x="2045"/>
        <item x="2088"/>
        <item sd="0" x="1631"/>
        <item sd="0" x="1302"/>
        <item sd="0" x="2184"/>
        <item sd="0" x="1547"/>
        <item x="1664"/>
        <item sd="0" x="2399"/>
        <item sd="0" x="2534"/>
        <item x="1310"/>
        <item x="1679"/>
        <item x="1482"/>
        <item sd="0" x="392"/>
        <item sd="0" x="1256"/>
        <item x="22"/>
        <item sd="0" x="1550"/>
        <item x="1606"/>
        <item x="1383"/>
        <item x="722"/>
        <item x="575"/>
        <item x="1516"/>
        <item x="1769"/>
        <item sd="0" x="2025"/>
        <item x="542"/>
        <item sd="0" x="1237"/>
        <item sd="0" x="246"/>
        <item sd="0" x="2410"/>
        <item x="621"/>
        <item x="707"/>
        <item sd="0" x="1169"/>
        <item sd="0" x="366"/>
        <item x="2112"/>
        <item sd="0" x="843"/>
        <item x="1331"/>
        <item sd="0" x="364"/>
        <item sd="0" x="2013"/>
        <item x="2098"/>
        <item sd="0" x="935"/>
        <item sd="0" x="2379"/>
        <item sd="0" x="2505"/>
        <item x="736"/>
        <item sd="0" x="2220"/>
        <item sd="0" x="1780"/>
        <item sd="0" x="2249"/>
        <item sd="0" x="2260"/>
        <item x="1182"/>
        <item x="1047"/>
        <item x="1306"/>
        <item x="1320"/>
        <item sd="0" x="1590"/>
        <item x="1092"/>
        <item sd="0" x="1775"/>
        <item x="1523"/>
        <item x="1127"/>
        <item x="654"/>
        <item x="1673"/>
        <item x="1790"/>
        <item x="444"/>
        <item x="918"/>
        <item x="81"/>
        <item sd="0" x="1656"/>
        <item sd="0" x="97"/>
        <item x="1290"/>
        <item sd="0" x="2251"/>
        <item x="568"/>
        <item sd="0" x="2411"/>
        <item x="454"/>
        <item sd="0" x="1316"/>
        <item sd="0" x="2288"/>
        <item sd="0" x="2536"/>
        <item x="1741"/>
        <item x="1735"/>
        <item x="1605"/>
        <item sd="0" x="2541"/>
        <item x="1677"/>
        <item sd="0" x="1629"/>
        <item x="1519"/>
        <item x="2141"/>
        <item x="1782"/>
        <item x="1153"/>
        <item x="973"/>
        <item x="2135"/>
        <item sd="0" x="2209"/>
        <item x="561"/>
        <item sd="0" x="399"/>
        <item x="1667"/>
        <item sd="0" x="2569"/>
        <item sd="0" x="1627"/>
        <item x="1017"/>
        <item x="638"/>
        <item x="1914"/>
        <item x="1094"/>
        <item x="1205"/>
        <item x="187"/>
        <item x="315"/>
        <item x="1208"/>
        <item sd="0" x="2458"/>
        <item x="1786"/>
        <item x="1369"/>
        <item x="559"/>
        <item x="166"/>
        <item sd="0" x="2261"/>
        <item sd="0" x="2328"/>
        <item sd="0" x="2342"/>
        <item x="851"/>
        <item x="958"/>
        <item x="541"/>
        <item x="222"/>
        <item x="1695"/>
        <item sd="0" x="2258"/>
        <item x="1813"/>
        <item sd="0" x="687"/>
        <item sd="0" x="2405"/>
        <item sd="0" x="2620"/>
        <item x="226"/>
        <item sd="0" x="2476"/>
        <item x="343"/>
        <item x="216"/>
        <item sd="0" x="2456"/>
        <item x="1240"/>
        <item x="511"/>
        <item sd="0" x="2281"/>
        <item x="854"/>
        <item x="1263"/>
        <item sd="0" x="390"/>
        <item sd="0" x="2599"/>
        <item sd="0" x="2480"/>
        <item sd="0" x="2145"/>
        <item x="1002"/>
        <item x="896"/>
        <item x="1838"/>
        <item x="1801"/>
        <item x="1600"/>
        <item x="1464"/>
        <item x="1079"/>
        <item x="1727"/>
        <item sd="0" x="2352"/>
        <item x="132"/>
        <item sd="0" x="1577"/>
        <item sd="0" x="2496"/>
        <item x="150"/>
        <item sd="0" x="2647"/>
        <item sd="0" x="2510"/>
        <item x="19"/>
        <item sd="0" x="1382"/>
        <item sd="0" x="690"/>
        <item x="1723"/>
        <item sd="0" x="2325"/>
        <item x="239"/>
        <item x="1361"/>
        <item x="847"/>
        <item x="1109"/>
        <item x="335"/>
        <item sd="0" x="374"/>
        <item x="1095"/>
        <item x="98"/>
        <item x="2142"/>
        <item x="48"/>
        <item sd="0" x="2445"/>
        <item sd="0" x="2516"/>
        <item x="227"/>
        <item sd="0" x="1578"/>
        <item x="1069"/>
        <item sd="0" x="2629"/>
        <item x="193"/>
        <item x="25"/>
        <item sd="0" x="2213"/>
        <item sd="0" x="699"/>
        <item sd="0" x="2406"/>
        <item sd="0" x="1338"/>
        <item sd="0" x="2553"/>
        <item x="577"/>
        <item x="567"/>
        <item x="766"/>
        <item sd="0" x="2640"/>
        <item sd="0" x="400"/>
        <item sd="0" x="1506"/>
        <item x="212"/>
        <item sd="0" x="2189"/>
        <item sd="0" x="1917"/>
        <item sd="0" x="350"/>
        <item x="1200"/>
        <item sd="0" x="1573"/>
        <item sd="0" x="1337"/>
        <item x="1719"/>
        <item x="2153"/>
        <item sd="0" x="2402"/>
        <item sd="0" x="1655"/>
        <item x="2157"/>
        <item sd="0" x="2554"/>
        <item x="1322"/>
        <item sd="0" x="2181"/>
        <item x="72"/>
        <item x="658"/>
        <item x="1313"/>
        <item x="608"/>
        <item x="1135"/>
        <item x="1078"/>
        <item x="282"/>
        <item sd="0" x="700"/>
        <item x="853"/>
        <item x="323"/>
        <item sd="0" x="2485"/>
        <item x="1510"/>
        <item sd="0" x="2361"/>
        <item sd="0" x="1242"/>
        <item sd="0" x="632"/>
        <item sd="0" x="2231"/>
        <item x="333"/>
        <item sd="0" x="2549"/>
        <item sd="0" x="2436"/>
        <item x="877"/>
        <item sd="0" x="2638"/>
        <item x="1836"/>
        <item sd="0" x="2382"/>
        <item x="1267"/>
        <item sd="0" x="578"/>
        <item sd="0" x="1254"/>
        <item sd="0" x="2474"/>
        <item x="1286"/>
        <item sd="0" x="2551"/>
        <item x="715"/>
        <item sd="0" x="2460"/>
        <item x="1567"/>
        <item x="275"/>
        <item x="648"/>
        <item x="881"/>
        <item x="977"/>
        <item sd="0" x="1225"/>
        <item x="35"/>
        <item sd="0" x="2221"/>
        <item sd="0" x="2689"/>
        <item sd="0" x="2284"/>
        <item sd="0" x="2387"/>
        <item sd="0" x="2229"/>
        <item x="1682"/>
        <item x="591"/>
        <item x="12"/>
        <item x="979"/>
        <item sd="0" x="88"/>
        <item sd="0" x="2585"/>
        <item sd="0" x="2688"/>
        <item sd="0" x="2521"/>
        <item x="1805"/>
        <item x="1011"/>
        <item x="1257"/>
        <item x="1370"/>
        <item sd="0" x="2426"/>
        <item sd="0" x="2182"/>
        <item sd="0" x="2434"/>
        <item x="77"/>
        <item sd="0" x="2236"/>
        <item x="627"/>
        <item sd="0" x="1994"/>
        <item sd="0" x="2059"/>
        <item x="814"/>
        <item x="824"/>
        <item x="636"/>
        <item x="959"/>
        <item sd="0" x="1979"/>
        <item x="826"/>
        <item sd="0" x="1612"/>
        <item x="594"/>
        <item x="1702"/>
        <item sd="0" x="546"/>
        <item sd="0" x="2524"/>
        <item sd="0" x="2252"/>
        <item x="1888"/>
        <item x="1834"/>
        <item sd="0" x="2254"/>
        <item sd="0" x="2291"/>
        <item x="772"/>
        <item x="880"/>
        <item sd="0" x="2503"/>
        <item x="1203"/>
        <item sd="0" x="1756"/>
        <item x="2159"/>
        <item x="830"/>
        <item sd="0" x="1585"/>
        <item x="503"/>
        <item x="253"/>
        <item x="2129"/>
        <item x="1814"/>
        <item x="1298"/>
        <item x="1402"/>
        <item sd="0" x="2332"/>
        <item sd="0" x="242"/>
        <item x="866"/>
        <item x="837"/>
        <item x="1144"/>
        <item sd="0" x="2666"/>
        <item x="1022"/>
        <item sd="0" x="2626"/>
        <item x="1599"/>
        <item sd="0" x="2296"/>
        <item sd="0" x="2682"/>
        <item sd="0" x="2545"/>
        <item x="1740"/>
        <item x="1503"/>
        <item sd="0" x="1025"/>
        <item x="1215"/>
        <item sd="0" x="69"/>
        <item x="1767"/>
        <item sd="0" x="368"/>
        <item x="915"/>
        <item sd="0" x="2584"/>
        <item sd="0" x="2637"/>
        <item sd="0" x="2558"/>
        <item x="249"/>
        <item x="1484"/>
        <item x="1151"/>
        <item sd="0" x="2381"/>
        <item x="1001"/>
        <item sd="0" x="2207"/>
        <item sd="0" x="2175"/>
        <item sd="0" x="2007"/>
        <item x="1514"/>
        <item x="1395"/>
        <item x="640"/>
        <item sd="0" x="2205"/>
        <item x="581"/>
        <item sd="0" x="2664"/>
        <item x="268"/>
        <item x="906"/>
        <item x="2071"/>
        <item sd="0" x="2644"/>
        <item sd="0" x="2183"/>
        <item x="637"/>
        <item sd="0" x="937"/>
        <item x="993"/>
        <item x="586"/>
        <item sd="0" x="2693"/>
        <item sd="0" x="1555"/>
        <item x="994"/>
        <item x="1270"/>
        <item sd="0" x="2370"/>
        <item sd="0" x="418"/>
        <item sd="0" x="1985"/>
        <item x="1853"/>
        <item x="1260"/>
        <item x="0"/>
        <item x="1220"/>
        <item sd="0" x="405"/>
        <item x="1472"/>
        <item x="1804"/>
        <item sd="0" x="1085"/>
        <item sd="0" x="1057"/>
        <item x="1431"/>
        <item x="111"/>
        <item x="889"/>
        <item sd="0" x="2174"/>
        <item sd="0" x="2641"/>
        <item x="437"/>
        <item x="1563"/>
        <item sd="0" x="2544"/>
        <item x="1666"/>
        <item sd="0" x="2614"/>
        <item sd="0" x="890"/>
        <item sd="0" x="2390"/>
        <item x="1691"/>
        <item x="992"/>
        <item x="1375"/>
        <item x="1134"/>
        <item sd="0" x="1622"/>
        <item x="1168"/>
        <item sd="0" x="446"/>
        <item sd="0" x="1988"/>
        <item x="2132"/>
        <item x="1683"/>
        <item sd="0" x="2416"/>
        <item x="1833"/>
        <item sd="0" x="2602"/>
        <item x="206"/>
        <item sd="0" x="177"/>
        <item x="839"/>
        <item sd="0" x="1250"/>
        <item x="2144"/>
        <item sd="0" x="774"/>
        <item sd="0" x="2346"/>
        <item x="505"/>
        <item x="1670"/>
        <item x="217"/>
        <item sd="0" x="1581"/>
        <item sd="0" x="2694"/>
        <item sd="0" x="109"/>
        <item x="1895"/>
        <item x="1116"/>
        <item sd="0" x="2237"/>
        <item sd="0" x="781"/>
        <item x="198"/>
        <item x="1761"/>
        <item x="649"/>
        <item sd="0" x="927"/>
        <item x="340"/>
        <item sd="0" x="1588"/>
        <item x="1009"/>
        <item x="1206"/>
        <item x="1100"/>
        <item x="969"/>
        <item x="2044"/>
        <item sd="0" x="1951"/>
        <item sd="0" x="2546"/>
        <item sd="0" x="2519"/>
        <item sd="0" x="2457"/>
        <item x="1251"/>
        <item x="24"/>
        <item x="1133"/>
        <item sd="0" x="2298"/>
        <item sd="0" x="1137"/>
        <item sd="0" x="2431"/>
        <item sd="0" x="394"/>
        <item sd="0" x="2215"/>
        <item x="1707"/>
        <item sd="0" x="583"/>
        <item x="1122"/>
        <item x="199"/>
        <item x="538"/>
        <item sd="0" x="1509"/>
        <item x="639"/>
        <item sd="0" x="2438"/>
        <item sd="0" x="402"/>
        <item x="1132"/>
        <item x="1274"/>
        <item x="1070"/>
        <item x="1483"/>
        <item x="1568"/>
        <item x="558"/>
        <item x="1810"/>
        <item sd="0" x="2246"/>
        <item x="922"/>
        <item x="1394"/>
        <item x="2097"/>
        <item x="1152"/>
        <item sd="0" x="1966"/>
        <item x="231"/>
        <item x="2138"/>
        <item x="1068"/>
        <item x="911"/>
        <item x="280"/>
        <item sd="0" x="2336"/>
        <item sd="0" x="2571"/>
        <item sd="0" x="1613"/>
        <item x="1560"/>
        <item sd="0" x="2493"/>
        <item sd="0" x="353"/>
        <item sd="0" x="1587"/>
        <item x="303"/>
        <item sd="0" x="1922"/>
        <item x="439"/>
        <item sd="0" x="409"/>
        <item sd="0" x="555"/>
        <item x="985"/>
        <item sd="0" x="2520"/>
        <item x="1676"/>
        <item x="188"/>
        <item sd="0" x="2492"/>
        <item x="1524"/>
        <item sd="0" x="1580"/>
        <item sd="0" x="2264"/>
        <item x="1572"/>
        <item x="1342"/>
        <item x="1377"/>
        <item sd="0" x="2525"/>
        <item x="1745"/>
        <item x="1008"/>
        <item sd="0" x="2514"/>
        <item x="159"/>
        <item x="834"/>
        <item x="1276"/>
        <item sd="0" x="2269"/>
        <item x="3"/>
        <item sd="0" x="2509"/>
        <item x="697"/>
        <item x="1728"/>
        <item x="2147"/>
        <item sd="0" x="1623"/>
        <item x="1048"/>
        <item x="767"/>
        <item x="71"/>
        <item x="1927"/>
        <item x="321"/>
        <item x="115"/>
        <item sd="0" x="2320"/>
        <item sd="0" x="2053"/>
        <item sd="0" x="277"/>
        <item sd="0" x="2611"/>
        <item x="1456"/>
        <item x="1010"/>
        <item x="2152"/>
        <item sd="0" x="2649"/>
        <item x="1366"/>
        <item sd="0" x="2623"/>
        <item sd="0" x="2250"/>
        <item sd="0" x="2635"/>
        <item x="1335"/>
        <item x="619"/>
        <item sd="0" x="2366"/>
        <item x="1315"/>
        <item x="1351"/>
        <item x="1892"/>
        <item x="1319"/>
        <item x="1500"/>
        <item x="2119"/>
        <item sd="0" x="2430"/>
        <item sd="0" x="2241"/>
        <item x="1183"/>
        <item x="1126"/>
        <item sd="0" x="2204"/>
        <item x="1405"/>
        <item sd="0" x="940"/>
        <item sd="0" x="2057"/>
        <item x="264"/>
        <item sd="0" x="2372"/>
        <item sd="0" x="423"/>
        <item sd="0" x="367"/>
        <item x="1255"/>
        <item x="84"/>
        <item x="983"/>
        <item sd="0" x="2196"/>
        <item sd="0" x="803"/>
        <item x="868"/>
        <item x="1871"/>
        <item sd="0" x="395"/>
        <item x="85"/>
        <item sd="0" x="2338"/>
        <item sd="0" x="414"/>
        <item x="765"/>
        <item x="1272"/>
        <item x="288"/>
        <item x="1672"/>
        <item sd="0" x="2561"/>
        <item sd="0" x="2369"/>
        <item x="1020"/>
        <item x="1241"/>
        <item sd="0" x="2307"/>
        <item sd="0" x="2632"/>
        <item sd="0" x="2442"/>
        <item sd="0" x="2586"/>
        <item x="544"/>
        <item x="192"/>
        <item x="1820"/>
        <item x="515"/>
        <item sd="0" x="2494"/>
        <item sd="0" x="1901"/>
        <item x="278"/>
        <item sd="0" x="2581"/>
        <item x="1498"/>
        <item sd="0" x="2407"/>
        <item sd="0" x="2033"/>
        <item x="184"/>
        <item x="2077"/>
        <item x="1601"/>
        <item sd="0" x="1955"/>
        <item sd="0" x="2479"/>
        <item sd="0" x="2606"/>
        <item x="240"/>
        <item x="919"/>
        <item x="1875"/>
        <item sd="0" x="2547"/>
        <item x="1436"/>
        <item sd="0" x="398"/>
        <item x="474"/>
        <item x="1445"/>
        <item sd="0" x="2271"/>
        <item x="1294"/>
        <item sd="0" x="2526"/>
        <item x="93"/>
        <item x="671"/>
        <item x="609"/>
        <item x="1275"/>
        <item x="1005"/>
        <item x="1793"/>
        <item x="1391"/>
        <item sd="0" x="2556"/>
        <item x="1174"/>
        <item x="1705"/>
        <item sd="0" x="797"/>
        <item sd="0" x="2603"/>
        <item x="1733"/>
        <item sd="0" x="2605"/>
        <item x="1021"/>
        <item x="1114"/>
        <item sd="0" x="417"/>
        <item sd="0" x="2054"/>
        <item x="1193"/>
        <item x="606"/>
        <item x="883"/>
        <item x="1846"/>
        <item x="757"/>
        <item sd="0" x="2245"/>
        <item x="1143"/>
        <item sd="0" x="753"/>
        <item x="1675"/>
        <item x="1288"/>
        <item sd="0" x="2289"/>
        <item x="1559"/>
        <item sd="0" x="1624"/>
        <item x="341"/>
        <item sd="0" x="2697"/>
        <item sd="0" x="2437"/>
        <item sd="0" x="2613"/>
        <item x="1301"/>
        <item x="219"/>
        <item sd="0" x="2652"/>
        <item x="887"/>
        <item sd="0" x="1700"/>
        <item x="1817"/>
        <item sd="0" x="1584"/>
        <item x="1736"/>
        <item sd="0" x="2447"/>
        <item x="726"/>
        <item x="1293"/>
        <item x="1146"/>
        <item sd="0" x="2597"/>
        <item x="1077"/>
        <item x="1194"/>
        <item sd="0" x="2262"/>
        <item x="1305"/>
        <item x="1390"/>
        <item x="536"/>
        <item x="849"/>
        <item x="30"/>
        <item x="169"/>
        <item sd="0" x="2345"/>
        <item x="468"/>
        <item x="1049"/>
        <item x="2110"/>
        <item sd="0" x="2323"/>
        <item x="1571"/>
        <item x="47"/>
        <item x="909"/>
        <item sd="0" x="2392"/>
        <item x="162"/>
        <item sd="0" x="2495"/>
        <item sd="0" x="2223"/>
        <item x="1928"/>
        <item x="566"/>
        <item x="1886"/>
        <item sd="0" x="2191"/>
        <item x="1362"/>
        <item x="1781"/>
        <item x="903"/>
        <item sd="0" x="2499"/>
        <item x="996"/>
        <item x="1687"/>
        <item sd="0" x="2021"/>
        <item x="1073"/>
        <item x="185"/>
        <item sd="0" x="2316"/>
        <item sd="0" x="91"/>
        <item x="2137"/>
        <item x="1253"/>
        <item sd="0" x="2297"/>
        <item sd="0" x="2625"/>
        <item x="209"/>
        <item x="351"/>
        <item x="1868"/>
        <item x="107"/>
        <item x="1422"/>
        <item sd="0" x="2452"/>
        <item sd="0" x="2051"/>
        <item x="1512"/>
        <item sd="0" x="2498"/>
        <item sd="0" x="2420"/>
        <item x="1529"/>
        <item x="769"/>
        <item sd="0" x="2185"/>
        <item sd="0" x="295"/>
        <item x="848"/>
        <item x="1308"/>
        <item sd="0" x="2631"/>
        <item sd="0" x="2310"/>
        <item x="611"/>
        <item x="2149"/>
        <item sd="0" x="2435"/>
        <item x="846"/>
        <item sd="0" x="2715"/>
        <item x="1831"/>
        <item sd="0" x="2292"/>
        <item x="1197"/>
        <item sd="0" x="20"/>
        <item x="1176"/>
        <item x="1855"/>
        <item x="181"/>
        <item sd="0" x="2050"/>
        <item x="2075"/>
        <item x="1368"/>
        <item sd="0" x="802"/>
        <item x="533"/>
        <item x="11"/>
        <item sd="0" x="2306"/>
        <item x="1873"/>
        <item x="2093"/>
        <item x="1036"/>
        <item x="1774"/>
        <item x="590"/>
        <item x="128"/>
        <item x="1227"/>
        <item x="741"/>
        <item sd="0" x="2019"/>
        <item sd="0" x="2512"/>
        <item sd="0" x="1403"/>
        <item sd="0" x="2568"/>
        <item x="1467"/>
        <item sd="0" x="2311"/>
        <item x="605"/>
        <item x="1236"/>
        <item sd="0" x="2234"/>
        <item sd="0" x="129"/>
        <item sd="0" x="925"/>
        <item x="875"/>
        <item sd="0" x="2538"/>
        <item sd="0" x="2648"/>
        <item sd="0" x="2363"/>
        <item sd="0" x="2669"/>
        <item sd="0" x="2656"/>
        <item sd="0" x="1614"/>
        <item sd="0" x="2010"/>
        <item x="1713"/>
        <item x="334"/>
        <item sd="0" x="1589"/>
        <item sd="0" x="2501"/>
        <item x="991"/>
        <item x="328"/>
        <item sd="0" x="2373"/>
        <item x="307"/>
        <item x="214"/>
        <item sd="0" x="799"/>
        <item x="733"/>
        <item sd="0" x="1610"/>
        <item sd="0" x="2491"/>
        <item x="1096"/>
        <item x="1791"/>
        <item x="1189"/>
        <item sd="0" x="1658"/>
        <item x="975"/>
        <item x="2039"/>
        <item x="1681"/>
        <item x="560"/>
        <item x="892"/>
        <item sd="0" x="2690"/>
        <item x="682"/>
        <item sd="0" x="2177"/>
        <item x="828"/>
        <item x="2115"/>
        <item x="914"/>
        <item sd="0" x="2239"/>
        <item sd="0" x="2417"/>
        <item sd="0" x="160"/>
        <item x="200"/>
        <item x="668"/>
        <item sd="0" x="1417"/>
        <item sd="0" x="1987"/>
        <item sd="0" x="1829"/>
        <item x="1269"/>
        <item x="33"/>
        <item x="1839"/>
        <item x="1291"/>
        <item x="1874"/>
        <item x="223"/>
        <item sd="0" x="995"/>
        <item x="298"/>
        <item x="1724"/>
        <item x="1794"/>
        <item x="2114"/>
        <item x="539"/>
        <item sd="0" x="2384"/>
        <item x="1147"/>
        <item sd="0" x="2684"/>
        <item sd="0" x="518"/>
        <item x="1115"/>
        <item x="1427"/>
        <item x="1282"/>
        <item sd="0" x="2513"/>
        <item x="2100"/>
        <item x="1913"/>
        <item x="1899"/>
        <item x="1098"/>
        <item x="490"/>
        <item x="498"/>
        <item x="598"/>
        <item x="2086"/>
        <item sd="0" x="2344"/>
        <item x="241"/>
        <item x="194"/>
        <item x="888"/>
        <item sd="0" x="2208"/>
        <item x="1160"/>
        <item sd="0" x="2031"/>
        <item x="1881"/>
        <item x="75"/>
        <item x="296"/>
        <item x="344"/>
        <item sd="0" x="2578"/>
        <item x="1195"/>
        <item x="1149"/>
        <item x="287"/>
        <item sd="0" x="2700"/>
        <item x="64"/>
        <item x="306"/>
        <item sd="0" x="420"/>
        <item x="1136"/>
        <item x="463"/>
        <item x="1558"/>
        <item sd="0" x="391"/>
        <item x="165"/>
        <item sd="0" x="1958"/>
        <item x="1376"/>
        <item x="2126"/>
        <item x="221"/>
        <item x="2089"/>
        <item x="1125"/>
        <item sd="0" x="1336"/>
        <item x="1314"/>
        <item x="1507"/>
        <item x="1019"/>
        <item sd="0" x="1461"/>
        <item sd="0" x="2540"/>
        <item x="1097"/>
        <item x="1248"/>
        <item sd="0" x="596"/>
        <item x="1803"/>
        <item x="1166"/>
        <item x="113"/>
        <item x="2105"/>
        <item x="1433"/>
        <item sd="0" x="2657"/>
        <item x="1415"/>
        <item x="759"/>
        <item x="549"/>
        <item sd="0" x="2230"/>
        <item x="1569"/>
        <item sd="0" x="2049"/>
        <item sd="0"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sd="0" x="2655"/>
        <item x="616"/>
        <item sd="0" x="2285"/>
        <item x="739"/>
        <item x="970"/>
        <item sd="0" x="1223"/>
        <item sd="0" x="2386"/>
        <item x="312"/>
        <item x="1521"/>
        <item x="1221"/>
        <item x="250"/>
        <item x="466"/>
        <item x="1684"/>
        <item x="1462"/>
        <item x="2073"/>
        <item x="1566"/>
        <item sd="0" x="2003"/>
        <item x="112"/>
        <item x="1059"/>
        <item x="1747"/>
        <item sd="0" x="2034"/>
        <item x="285"/>
        <item x="330"/>
        <item sd="0" x="1638"/>
        <item sd="0" x="2404"/>
        <item sd="0" x="1963"/>
        <item sd="0" x="2610"/>
        <item x="519"/>
        <item x="1321"/>
        <item x="1889"/>
        <item x="229"/>
        <item x="1413"/>
        <item x="66"/>
        <item sd="0" x="2713"/>
        <item sd="0" x="1867"/>
        <item x="146"/>
        <item x="352"/>
        <item x="1530"/>
        <item x="1562"/>
        <item sd="0" x="2318"/>
        <item x="1423"/>
        <item x="171"/>
        <item sd="0" x="1466"/>
        <item x="118"/>
        <item x="869"/>
        <item sd="0" x="936"/>
        <item x="898"/>
        <item x="2109"/>
        <item x="2130"/>
        <item x="1062"/>
        <item x="1887"/>
        <item x="211"/>
        <item x="345"/>
        <item x="1918"/>
        <item sd="0" x="2531"/>
        <item x="1304"/>
        <item x="593"/>
        <item sd="0" x="1969"/>
        <item sd="0" x="2670"/>
        <item x="243"/>
        <item x="1222"/>
        <item x="167"/>
        <item x="18"/>
        <item x="723"/>
        <item x="5"/>
        <item sd="0" x="412"/>
        <item sd="0" x="2322"/>
        <item x="1949"/>
        <item x="1885"/>
        <item sd="0" x="2161"/>
        <item sd="0" x="2347"/>
        <item sd="0" x="2616"/>
        <item sd="0" x="2247"/>
        <item x="506"/>
        <item sd="0" x="2295"/>
        <item x="1526"/>
        <item x="1367"/>
        <item sd="0" x="1636"/>
        <item x="1283"/>
        <item x="1271"/>
        <item x="2068"/>
        <item x="895"/>
        <item x="127"/>
        <item x="2101"/>
        <item x="1920"/>
        <item x="1156"/>
        <item sd="0" x="2612"/>
        <item sd="0" x="2609"/>
        <item x="218"/>
        <item sd="0" x="2378"/>
        <item x="1877"/>
        <item x="1916"/>
        <item x="1923"/>
        <item sd="0" x="2052"/>
        <item x="257"/>
        <item x="1800"/>
        <item x="1103"/>
        <item x="207"/>
        <item x="483"/>
        <item x="755"/>
        <item x="923"/>
        <item sd="0" x="2443"/>
        <item x="565"/>
        <item x="1826"/>
        <item x="1448"/>
        <item x="631"/>
        <item sd="0" x="2326"/>
        <item sd="0" x="2335"/>
        <item x="2106"/>
        <item x="1101"/>
        <item x="2111"/>
        <item sd="0" x="2006"/>
        <item sd="0" x="2433"/>
        <item x="62"/>
        <item x="1053"/>
        <item x="2066"/>
        <item x="1074"/>
        <item x="1931"/>
        <item sd="0" x="1639"/>
        <item x="954"/>
        <item x="270"/>
        <item sd="0" x="2225"/>
        <item x="1711"/>
        <item sd="0" x="1158"/>
        <item x="203"/>
        <item x="1067"/>
        <item x="220"/>
        <item x="276"/>
        <item sd="0" x="2475"/>
        <item x="629"/>
        <item x="897"/>
        <item sd="0" x="2243"/>
        <item sd="0" x="1982"/>
        <item x="45"/>
        <item sd="0" x="1634"/>
        <item sd="0" x="2176"/>
        <item x="1247"/>
        <item x="1518"/>
        <item x="1091"/>
        <item x="1307"/>
        <item sd="0" x="2448"/>
        <item x="910"/>
        <item x="509"/>
        <item sd="0" x="2483"/>
        <item x="1771"/>
        <item x="1473"/>
        <item sd="0" x="2548"/>
        <item x="614"/>
        <item sd="0" x="2590"/>
        <item x="2122"/>
        <item x="548"/>
        <item sd="0" x="2356"/>
        <item x="284"/>
        <item x="530"/>
        <item sd="0" x="101"/>
        <item sd="0" x="427"/>
        <item x="236"/>
        <item sd="0" x="2348"/>
        <item sd="0" x="2194"/>
        <item sd="0" x="807"/>
        <item x="1788"/>
        <item x="1668"/>
        <item sd="0" x="965"/>
        <item sd="0" x="2587"/>
        <item x="1167"/>
        <item sd="0" x="1552"/>
        <item x="1497"/>
        <item x="1418"/>
        <item x="225"/>
        <item x="1385"/>
        <item x="949"/>
        <item x="110"/>
        <item x="26"/>
        <item sd="0" x="406"/>
        <item sd="0" x="587"/>
        <item x="960"/>
        <item x="872"/>
        <item x="23"/>
        <item x="2092"/>
        <item x="1054"/>
        <item sd="0" x="2371"/>
        <item x="316"/>
        <item sd="0" x="1533"/>
        <item sd="0" x="2171"/>
        <item x="292"/>
        <item x="1239"/>
        <item x="1784"/>
        <item sd="0" x="1975"/>
        <item x="1358"/>
        <item sd="0" x="930"/>
        <item x="2065"/>
        <item sd="0" x="2459"/>
        <item x="329"/>
        <item x="320"/>
        <item x="1231"/>
        <item sd="0" x="1981"/>
        <item x="87"/>
        <item x="610"/>
        <item x="921"/>
        <item x="1034"/>
        <item x="269"/>
        <item x="1273"/>
        <item x="1252"/>
        <item sd="0" x="1708"/>
        <item sd="0" x="2432"/>
        <item sd="0" x="2001"/>
        <item x="201"/>
        <item x="332"/>
        <item sd="0" x="2263"/>
        <item x="41"/>
        <item x="263"/>
        <item x="867"/>
        <item sd="0" x="2574"/>
        <item sd="0" x="2680"/>
        <item x="461"/>
        <item x="760"/>
        <item x="245"/>
        <item sd="0" x="2256"/>
        <item x="1522"/>
        <item sd="0" x="2211"/>
        <item x="260"/>
        <item x="124"/>
        <item sd="0" x="1345"/>
        <item sd="0" x="2573"/>
        <item sd="0" x="2604"/>
        <item sd="0" x="2719"/>
        <item sd="0" x="2465"/>
        <item sd="0" x="1575"/>
        <item x="997"/>
        <item x="1841"/>
        <item x="1663"/>
        <item sd="0" x="2628"/>
        <item sd="0" x="1635"/>
        <item sd="0" x="2634"/>
        <item x="482"/>
        <item sd="0" x="1649"/>
        <item x="1139"/>
        <item sd="0" x="1694"/>
        <item x="256"/>
        <item x="1661"/>
        <item x="1110"/>
        <item x="189"/>
        <item x="2080"/>
        <item x="1348"/>
        <item sd="0" x="149"/>
        <item x="771"/>
        <item sd="0" x="2319"/>
        <item x="724"/>
        <item x="1235"/>
        <item x="1438"/>
        <item sd="0" x="2046"/>
        <item sd="0" x="183"/>
        <item x="1033"/>
        <item sd="0" x="2314"/>
        <item x="1678"/>
        <item x="659"/>
        <item x="274"/>
        <item x="488"/>
        <item x="213"/>
        <item x="1674"/>
        <item sd="0" x="2321"/>
        <item x="2063"/>
        <item x="633"/>
        <item x="13"/>
        <item x="300"/>
        <item x="1262"/>
        <item x="1798"/>
        <item x="357"/>
        <item sd="0" x="2060"/>
        <item sd="0" x="2359"/>
        <item x="694"/>
        <item sd="0" x="2168"/>
        <item x="1075"/>
        <item x="258"/>
        <item x="1508"/>
        <item sd="0" x="2466"/>
        <item x="816"/>
        <item sd="0" x="385"/>
        <item sd="0" x="2528"/>
        <item sd="0" x="734"/>
        <item sd="0" x="413"/>
        <item sd="0" x="2594"/>
        <item x="873"/>
        <item x="106"/>
        <item x="465"/>
        <item x="1086"/>
        <item x="324"/>
        <item sd="0" x="2343"/>
        <item x="1142"/>
        <item sd="0" x="2028"/>
        <item x="1717"/>
        <item x="599"/>
        <item x="842"/>
        <item x="1876"/>
        <item sd="0" x="1980"/>
        <item sd="0" x="787"/>
        <item x="708"/>
        <item sd="0" x="382"/>
        <item x="1163"/>
        <item x="625"/>
        <item sd="0" x="793"/>
        <item sd="0" x="2317"/>
        <item sd="0" x="2421"/>
        <item sd="0" x="2579"/>
        <item x="262"/>
        <item x="1477"/>
        <item x="1204"/>
        <item sd="0" x="2615"/>
        <item sd="0" x="2527"/>
        <item x="2062"/>
        <item x="1502"/>
        <item x="1373"/>
        <item sd="0" x="2365"/>
        <item x="230"/>
        <item x="319"/>
        <item x="1830"/>
        <item x="1035"/>
        <item x="1703"/>
        <item x="1211"/>
        <item x="534"/>
        <item x="1660"/>
        <item sd="0" x="2232"/>
        <item x="175"/>
        <item sd="0" x="2253"/>
        <item x="876"/>
        <item x="67"/>
        <item x="1493"/>
        <item x="962"/>
        <item x="1904"/>
        <item sd="0"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sd="0" x="2124"/>
        <item x="168"/>
        <item x="528"/>
        <item x="286"/>
        <item x="182"/>
        <item x="424"/>
        <item x="102"/>
        <item sd="0" x="2354"/>
        <item x="891"/>
        <item x="51"/>
        <item x="1207"/>
        <item x="1450"/>
        <item x="1449"/>
        <item x="1173"/>
        <item x="838"/>
        <item x="2074"/>
        <item x="142"/>
        <item sd="0" x="2002"/>
        <item sd="0" x="2461"/>
        <item sd="0" x="2238"/>
        <item x="1303"/>
        <item x="517"/>
        <item x="525"/>
        <item sd="0" x="2315"/>
        <item x="283"/>
        <item x="176"/>
        <item sd="0" x="2642"/>
        <item x="2096"/>
        <item x="526"/>
        <item x="1843"/>
        <item x="522"/>
        <item sd="0" x="2592"/>
        <item x="1277"/>
        <item x="1481"/>
        <item x="202"/>
        <item x="850"/>
        <item x="228"/>
        <item sd="0" x="2559"/>
        <item x="455"/>
        <item sd="0" x="1967"/>
        <item sd="0" x="795"/>
        <item x="1217"/>
        <item x="92"/>
        <item sd="0" x="2478"/>
        <item x="486"/>
        <item x="89"/>
        <item x="1706"/>
        <item x="860"/>
        <item sd="0" x="2055"/>
        <item x="524"/>
        <item sd="0" x="178"/>
        <item sd="0" x="2415"/>
        <item sd="0" x="2279"/>
        <item sd="0" x="2270"/>
        <item x="2154"/>
        <item sd="0" x="2419"/>
        <item x="293"/>
        <item x="349"/>
        <item sd="0" x="1992"/>
        <item x="477"/>
        <item x="1919"/>
        <item x="1746"/>
        <item sd="0" x="1954"/>
        <item x="1897"/>
        <item sd="0" x="2711"/>
        <item sd="0" x="421"/>
        <item sd="0" x="2506"/>
        <item x="40"/>
        <item sd="0" x="2036"/>
        <item x="624"/>
        <item x="1398"/>
        <item x="563"/>
        <item x="1384"/>
        <item sd="0" x="2518"/>
        <item sd="0" x="932"/>
        <item sd="0" x="2210"/>
        <item x="944"/>
        <item x="920"/>
        <item sd="0" x="2660"/>
        <item x="1421"/>
        <item x="1894"/>
        <item x="2113"/>
        <item x="55"/>
        <item sd="0" x="422"/>
        <item x="1758"/>
        <item sd="0" x="947"/>
        <item sd="0" x="2265"/>
        <item x="289"/>
        <item x="1349"/>
        <item x="2139"/>
        <item x="840"/>
        <item x="1734"/>
        <item x="1084"/>
        <item sd="0" x="2228"/>
        <item x="1295"/>
        <item x="2076"/>
        <item x="1755"/>
        <item x="1118"/>
        <item sd="0" x="2187"/>
        <item x="1408"/>
        <item x="65"/>
        <item x="1108"/>
        <item x="1906"/>
        <item x="1177"/>
        <item x="592"/>
        <item sd="0" x="2575"/>
        <item x="342"/>
        <item x="504"/>
        <item x="1879"/>
        <item sd="0" x="44"/>
        <item x="1088"/>
        <item x="1264"/>
        <item x="1312"/>
        <item sd="0" x="2380"/>
        <item x="574"/>
        <item sd="0" x="2266"/>
        <item x="472"/>
        <item x="747"/>
        <item x="259"/>
        <item x="436"/>
        <item x="1792"/>
        <item sd="0" x="1620"/>
        <item sd="0" x="938"/>
        <item x="1093"/>
        <item sd="0" x="2429"/>
        <item sd="0" x="397"/>
        <item x="1317"/>
        <item sd="0" x="709"/>
        <item x="1399"/>
        <item sd="0" x="2482"/>
        <item sd="0" x="2312"/>
        <item x="1859"/>
        <item x="1789"/>
        <item sd="0" x="2674"/>
        <item x="58"/>
        <item sd="0" x="2446"/>
        <item x="1216"/>
        <item x="1124"/>
        <item x="49"/>
        <item x="862"/>
        <item x="1474"/>
        <item x="1933"/>
        <item x="252"/>
        <item sd="0" x="2186"/>
        <item sd="0" x="2160"/>
        <item x="301"/>
        <item sd="0" x="2639"/>
        <item x="299"/>
        <item sd="0" x="2567"/>
        <item x="336"/>
        <item x="2146"/>
        <item x="908"/>
        <item sd="0" x="1625"/>
        <item sd="0" x="2280"/>
        <item x="557"/>
        <item x="886"/>
        <item sd="0" x="2219"/>
        <item x="238"/>
        <item x="443"/>
        <item sd="0" x="2301"/>
        <item sd="0" x="2667"/>
        <item x="1819"/>
        <item sd="0" x="2504"/>
        <item sd="0" x="2383"/>
        <item sd="0" x="1451"/>
        <item x="543"/>
        <item x="489"/>
        <item x="674"/>
        <item x="1460"/>
        <item sd="0" x="1642"/>
        <item x="326"/>
        <item x="117"/>
        <item sd="0" x="1716"/>
        <item x="261"/>
        <item sd="0" x="2543"/>
        <item sd="0" x="2619"/>
        <item sd="0" x="2299"/>
        <item sd="0" x="2397"/>
        <item x="279"/>
        <item x="2091"/>
        <item x="273"/>
        <item x="2087"/>
        <item x="6"/>
        <item x="265"/>
        <item sd="0" x="2324"/>
        <item sd="0" x="2695"/>
        <item x="1437"/>
        <item x="14"/>
        <item x="675"/>
        <item sd="0" x="2515"/>
        <item x="1440"/>
        <item sd="0" x="1647"/>
        <item sd="0" x="2409"/>
        <item x="870"/>
        <item x="630"/>
        <item x="27"/>
        <item sd="0" x="1576"/>
        <item x="1739"/>
        <item x="1910"/>
        <item x="1051"/>
        <item sd="0" x="1795"/>
        <item sd="0" x="411"/>
        <item sd="0" x="2259"/>
        <item x="450"/>
        <item x="507"/>
        <item x="39"/>
        <item x="1080"/>
        <item x="471"/>
        <item sd="0" x="1956"/>
        <item sd="0" x="2488"/>
        <item x="942"/>
        <item sd="0"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sd="0"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sd="0"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sd="0" x="2030"/>
        <item x="2079"/>
        <item x="951"/>
        <item sd="0" x="2703"/>
        <item x="1908"/>
        <item x="1138"/>
        <item x="170"/>
        <item x="719"/>
        <item x="2099"/>
        <item sd="0" x="2414"/>
        <item sd="0" x="1611"/>
        <item x="1457"/>
        <item x="1912"/>
        <item x="1807"/>
        <item x="856"/>
        <item sd="0" x="2696"/>
        <item sd="0" x="2600"/>
        <item sd="0" x="2608"/>
        <item x="1893"/>
        <item x="116"/>
        <item x="955"/>
        <item sd="0" x="2216"/>
        <item x="1725"/>
        <item x="864"/>
        <item x="1159"/>
        <item x="1228"/>
        <item sd="0" x="939"/>
        <item x="978"/>
        <item x="1935"/>
        <item x="556"/>
        <item x="28"/>
        <item x="281"/>
        <item x="1799"/>
        <item x="1087"/>
        <item sd="0" x="369"/>
        <item x="1249"/>
        <item x="1921"/>
        <item sd="0" x="1199"/>
        <item x="731"/>
        <item x="16"/>
        <item sd="0" x="2593"/>
        <item x="1150"/>
        <item x="1432"/>
        <item sd="0" x="2283"/>
        <item sd="0" x="2618"/>
        <item x="473"/>
        <item x="1884"/>
        <item x="871"/>
        <item x="752"/>
        <item sd="0" x="628"/>
        <item sd="0" x="2026"/>
        <item sd="0" x="2487"/>
        <item x="1378"/>
        <item x="968"/>
        <item sd="0" x="2339"/>
        <item sd="0" x="2517"/>
        <item x="2118"/>
        <item sd="0" x="2240"/>
        <item x="1787"/>
        <item x="510"/>
        <item x="1811"/>
        <item sd="0" x="2313"/>
        <item x="2078"/>
        <item sd="0" x="2636"/>
        <item x="602"/>
        <item x="495"/>
        <item sd="0" x="2705"/>
        <item sd="0" x="2467"/>
        <item x="1104"/>
        <item x="154"/>
        <item x="1397"/>
        <item x="338"/>
        <item x="1297"/>
        <item x="704"/>
        <item x="1400"/>
        <item sd="0" x="2227"/>
        <item x="348"/>
        <item sd="0" x="2014"/>
        <item x="855"/>
        <item x="950"/>
        <item sd="0" x="2349"/>
        <item sd="0" x="2327"/>
        <item x="1785"/>
        <item x="1"/>
        <item x="172"/>
        <item sd="0" x="2385"/>
        <item x="105"/>
        <item sd="0" x="2555"/>
        <item x="1407"/>
        <item x="552"/>
        <item x="1513"/>
        <item x="272"/>
        <item sd="0" x="1646"/>
        <item x="1381"/>
        <item sd="0"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sd="0" x="2222"/>
        <item x="36"/>
        <item x="54"/>
        <item x="1425"/>
        <item x="46"/>
        <item x="527"/>
        <item x="1339"/>
        <item x="1016"/>
        <item x="532"/>
        <item sd="0" x="2364"/>
        <item sd="0" x="2624"/>
        <item x="21"/>
        <item x="438"/>
        <item sd="0" x="2552"/>
        <item x="2042"/>
        <item sd="0" x="2179"/>
        <item x="255"/>
        <item x="235"/>
        <item x="943"/>
        <item x="2043"/>
        <item x="999"/>
        <item x="1488"/>
        <item sd="0" x="2589"/>
        <item x="2038"/>
        <item x="355"/>
        <item x="1824"/>
        <item sd="0" x="2532"/>
        <item sd="0" x="2268"/>
        <item sd="0" x="2357"/>
        <item x="271"/>
        <item sd="0" x="2022"/>
        <item sd="0" x="2286"/>
        <item sd="0" x="2257"/>
        <item sd="0" x="1491"/>
        <item x="1845"/>
        <item sd="0" x="1609"/>
        <item x="861"/>
        <item x="1224"/>
        <item sd="0" x="2290"/>
        <item x="858"/>
        <item x="1697"/>
        <item x="1285"/>
        <item x="748"/>
        <item sd="0" x="2591"/>
        <item x="540"/>
        <item x="195"/>
        <item x="1347"/>
        <item x="749"/>
        <item x="1214"/>
        <item x="356"/>
        <item x="1909"/>
        <item sd="0" x="2683"/>
        <item x="1419"/>
        <item x="1698"/>
        <item x="157"/>
        <item x="1444"/>
        <item x="57"/>
        <item x="1089"/>
        <item sd="0" x="2710"/>
        <item x="1443"/>
        <item x="1446"/>
        <item x="52"/>
        <item x="1865"/>
        <item x="620"/>
        <item x="1715"/>
        <item x="337"/>
        <item x="1041"/>
        <item x="1489"/>
        <item sd="0" x="2439"/>
        <item x="1465"/>
        <item x="237"/>
        <item x="976"/>
        <item x="1386"/>
        <item sd="0" x="2027"/>
        <item x="685"/>
        <item x="2083"/>
        <item x="2094"/>
        <item x="857"/>
        <item x="553"/>
        <item sd="0" x="2529"/>
        <item x="2148"/>
        <item x="481"/>
        <item x="304"/>
        <item x="2090"/>
        <item x="1486"/>
        <item x="2158"/>
        <item x="1410"/>
        <item x="912"/>
        <item x="294"/>
        <item x="1406"/>
        <item sd="0" x="2673"/>
        <item sd="0" x="404"/>
        <item sd="0" x="2166"/>
        <item sd="0" x="2244"/>
        <item sd="0" x="429"/>
        <item x="1198"/>
        <item x="818"/>
        <item x="224"/>
        <item sd="0" x="2029"/>
        <item sd="0" x="2217"/>
        <item x="1487"/>
        <item x="2116"/>
        <item x="1926"/>
        <item sd="0" x="2212"/>
        <item x="1454"/>
        <item x="1201"/>
        <item sd="0" x="2056"/>
        <item x="1796"/>
        <item x="1882"/>
        <item sd="0" x="2596"/>
        <item sd="0" x="796"/>
        <item x="1840"/>
        <item x="1742"/>
        <item x="1404"/>
        <item x="2151"/>
        <item sd="0" x="1984"/>
        <item x="80"/>
        <item x="1468"/>
        <item x="1401"/>
        <item x="1412"/>
        <item x="1452"/>
        <item x="1596"/>
        <item sd="0" x="2201"/>
        <item x="305"/>
        <item x="523"/>
        <item x="8"/>
        <item x="744"/>
        <item x="460"/>
        <item sd="0" x="2303"/>
        <item sd="0" x="2374"/>
        <item x="852"/>
        <item sd="0" x="462"/>
        <item x="728"/>
        <item sd="0" x="2329"/>
        <item x="607"/>
        <item x="1827"/>
        <item x="1732"/>
        <item x="1494"/>
        <item sd="0" x="2440"/>
        <item x="1872"/>
        <item x="966"/>
        <item sd="0" x="2576"/>
        <item x="126"/>
        <item x="174"/>
        <item sd="0" x="2659"/>
        <item x="32"/>
        <item x="61"/>
        <item x="1490"/>
        <item x="1470"/>
        <item sd="0" x="425"/>
        <item sd="0" x="2037"/>
        <item x="1424"/>
        <item x="173"/>
        <item x="831"/>
        <item x="1929"/>
        <item x="1718"/>
        <item x="514"/>
        <item x="990"/>
        <item x="1485"/>
        <item x="660"/>
        <item x="302"/>
        <item sd="0" x="2198"/>
        <item sd="0" x="2398"/>
        <item x="829"/>
        <item x="1226"/>
        <item x="710"/>
        <item x="1710"/>
        <item x="946"/>
        <item x="2067"/>
        <item sd="0" x="1554"/>
        <item x="155"/>
        <item x="1883"/>
        <item x="86"/>
        <item x="967"/>
        <item sd="0" x="2008"/>
        <item x="971"/>
        <item sd="0" x="2718"/>
        <item x="1429"/>
        <item x="1441"/>
        <item x="764"/>
        <item x="449"/>
        <item sd="0" x="370"/>
        <item x="432"/>
        <item x="513"/>
        <item x="1426"/>
        <item sd="0" x="792"/>
        <item x="1233"/>
        <item x="2134"/>
        <item x="1333"/>
        <item x="1292"/>
        <item x="2136"/>
        <item sd="0" x="2340"/>
        <item x="1430"/>
        <item x="740"/>
        <item sd="0" x="1632"/>
        <item sd="0" x="2167"/>
        <item x="1128"/>
        <item x="1458"/>
        <item x="137"/>
        <item sd="0" x="2164"/>
        <item x="1932"/>
        <item x="1416"/>
        <item x="1442"/>
        <item x="1230"/>
        <item x="1389"/>
        <item sd="0" x="2016"/>
        <item x="569"/>
        <item x="1937"/>
        <item x="863"/>
        <item sd="0" x="130"/>
        <item x="1731"/>
        <item x="1119"/>
        <item x="1925"/>
        <item x="1379"/>
        <item x="1210"/>
        <item x="1527"/>
        <item x="521"/>
        <item x="1495"/>
        <item x="1898"/>
        <item sd="0"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sd="0" x="2408"/>
        <item sd="0" x="408"/>
        <item x="1037"/>
        <item x="2155"/>
        <item x="499"/>
        <item x="727"/>
        <item sd="0" x="2714"/>
        <item x="948"/>
        <item x="1387"/>
        <item x="1930"/>
        <item x="1081"/>
        <item x="956"/>
        <item sd="0" x="2331"/>
        <item x="1907"/>
        <item x="750"/>
        <item sd="0" x="416"/>
        <item sd="0" x="2643"/>
        <item sd="0"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/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/>
      </items>
    </pivotField>
  </pivotFields>
  <rowFields count="4">
    <field x="17"/>
    <field x="1"/>
    <field x="4"/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C6913-1E0C-DA4A-B919-FB1E0C7CA808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84" zoomScaleNormal="125" workbookViewId="0">
      <pane xSplit="3" ySplit="1" topLeftCell="T526" activePane="bottomRight" state="frozen"/>
      <selection pane="topRight" activeCell="D1" sqref="D1"/>
      <selection pane="bottomLeft" activeCell="A2" sqref="A2"/>
      <selection pane="bottomRight" activeCell="B534" sqref="B534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6.83203125" customWidth="1"/>
    <col min="17" max="17" width="11.83203125" bestFit="1" customWidth="1"/>
    <col min="18" max="18" width="14.5" bestFit="1" customWidth="1"/>
    <col min="19" max="19" width="20.33203125" bestFit="1" customWidth="1"/>
    <col min="20" max="20" width="17.1640625" bestFit="1" customWidth="1"/>
    <col min="21" max="21" width="14.83203125" style="64" bestFit="1" customWidth="1"/>
    <col min="22" max="22" width="24.1640625" style="14" bestFit="1" customWidth="1"/>
    <col min="23" max="23" width="8.83203125" style="14"/>
  </cols>
  <sheetData>
    <row r="1" spans="1:22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9" t="s">
        <v>8362</v>
      </c>
      <c r="R1" s="1" t="s">
        <v>8357</v>
      </c>
      <c r="S1" s="1" t="s">
        <v>8365</v>
      </c>
      <c r="T1" s="1" t="s">
        <v>8366</v>
      </c>
      <c r="U1" s="65" t="s">
        <v>8391</v>
      </c>
      <c r="V1" s="14" t="s">
        <v>8407</v>
      </c>
    </row>
    <row r="2" spans="1:22" ht="48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 s="64">
        <f>T2-S2</f>
        <v>31.117928240739275</v>
      </c>
      <c r="V2" s="13" t="str">
        <f>IF(E2&gt;=D2, "funded", "underfunded")</f>
        <v>funded</v>
      </c>
    </row>
    <row r="3" spans="1:22" ht="3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64">
        <f t="shared" ref="U3:V66" si="4">T3-S3</f>
        <v>30</v>
      </c>
      <c r="V3" s="13" t="str">
        <f t="shared" ref="V3:V66" si="5">IF(E3&gt;=D3, "funded", "underfunded")</f>
        <v>funded</v>
      </c>
    </row>
    <row r="4" spans="1:22" ht="48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 s="64">
        <f t="shared" si="4"/>
        <v>10</v>
      </c>
      <c r="V4" s="13" t="str">
        <f t="shared" si="5"/>
        <v>funded</v>
      </c>
    </row>
    <row r="5" spans="1:22" ht="3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 s="64">
        <f t="shared" si="4"/>
        <v>30</v>
      </c>
      <c r="V5" s="13" t="str">
        <f t="shared" si="5"/>
        <v>funded</v>
      </c>
    </row>
    <row r="6" spans="1:22" ht="6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 s="64">
        <f t="shared" si="4"/>
        <v>30</v>
      </c>
      <c r="V6" s="13" t="str">
        <f t="shared" si="5"/>
        <v>funded</v>
      </c>
    </row>
    <row r="7" spans="1:22" ht="48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 s="64">
        <f t="shared" si="4"/>
        <v>16.299687500002619</v>
      </c>
      <c r="V7" s="13" t="str">
        <f t="shared" si="5"/>
        <v>funded</v>
      </c>
    </row>
    <row r="8" spans="1:22" ht="48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 s="64">
        <f t="shared" si="4"/>
        <v>10</v>
      </c>
      <c r="V8" s="13" t="str">
        <f t="shared" si="5"/>
        <v>funded</v>
      </c>
    </row>
    <row r="9" spans="1:22" ht="48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 s="64">
        <f t="shared" si="4"/>
        <v>40</v>
      </c>
      <c r="V9" s="13" t="str">
        <f t="shared" si="5"/>
        <v>funded</v>
      </c>
    </row>
    <row r="10" spans="1:22" ht="16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 s="64">
        <f t="shared" si="4"/>
        <v>6.9304166666697711</v>
      </c>
      <c r="V10" s="13" t="str">
        <f t="shared" si="5"/>
        <v>funded</v>
      </c>
    </row>
    <row r="11" spans="1:22" ht="48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 s="64">
        <f t="shared" si="4"/>
        <v>30</v>
      </c>
      <c r="V11" s="13" t="str">
        <f t="shared" si="5"/>
        <v>funded</v>
      </c>
    </row>
    <row r="12" spans="1:22" ht="48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 s="64">
        <f t="shared" si="4"/>
        <v>35</v>
      </c>
      <c r="V12" s="13" t="str">
        <f t="shared" si="5"/>
        <v>funded</v>
      </c>
    </row>
    <row r="13" spans="1:22" ht="48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 s="64">
        <f t="shared" si="4"/>
        <v>31.346504629633273</v>
      </c>
      <c r="V13" s="13" t="str">
        <f t="shared" si="5"/>
        <v>funded</v>
      </c>
    </row>
    <row r="14" spans="1:22" ht="48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 s="64">
        <f t="shared" si="4"/>
        <v>44.41174768518249</v>
      </c>
      <c r="V14" s="13" t="str">
        <f t="shared" si="5"/>
        <v>funded</v>
      </c>
    </row>
    <row r="15" spans="1:22" ht="3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 s="64">
        <f t="shared" si="4"/>
        <v>36.174895833333721</v>
      </c>
      <c r="V15" s="13" t="str">
        <f t="shared" si="5"/>
        <v>funded</v>
      </c>
    </row>
    <row r="16" spans="1:22" ht="3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 s="64">
        <f t="shared" si="4"/>
        <v>25.556157407409046</v>
      </c>
      <c r="V16" s="13" t="str">
        <f t="shared" si="5"/>
        <v>funded</v>
      </c>
    </row>
    <row r="17" spans="1:22" ht="48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 s="64">
        <f t="shared" si="4"/>
        <v>18.451180555552128</v>
      </c>
      <c r="V17" s="13" t="str">
        <f t="shared" si="5"/>
        <v>funded</v>
      </c>
    </row>
    <row r="18" spans="1:22" ht="48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 s="64">
        <f t="shared" si="4"/>
        <v>45.432743055549508</v>
      </c>
      <c r="V18" s="13" t="str">
        <f t="shared" si="5"/>
        <v>funded</v>
      </c>
    </row>
    <row r="19" spans="1:22" ht="48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 s="64">
        <f t="shared" si="4"/>
        <v>30.041666666664241</v>
      </c>
      <c r="V19" s="13" t="str">
        <f t="shared" si="5"/>
        <v>funded</v>
      </c>
    </row>
    <row r="20" spans="1:22" ht="48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 s="64">
        <f t="shared" si="4"/>
        <v>30</v>
      </c>
      <c r="V20" s="13" t="str">
        <f t="shared" si="5"/>
        <v>funded</v>
      </c>
    </row>
    <row r="21" spans="1:22" ht="48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 s="64">
        <f t="shared" si="4"/>
        <v>30</v>
      </c>
      <c r="V21" s="13" t="str">
        <f t="shared" si="5"/>
        <v>funded</v>
      </c>
    </row>
    <row r="22" spans="1:22" ht="48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 s="64">
        <f t="shared" si="4"/>
        <v>60</v>
      </c>
      <c r="V22" s="13" t="str">
        <f t="shared" si="5"/>
        <v>funded</v>
      </c>
    </row>
    <row r="23" spans="1:22" ht="48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 s="64">
        <f t="shared" si="4"/>
        <v>30</v>
      </c>
      <c r="V23" s="13" t="str">
        <f t="shared" si="5"/>
        <v>funded</v>
      </c>
    </row>
    <row r="24" spans="1:22" ht="3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 s="64">
        <f t="shared" si="4"/>
        <v>15.421296296299261</v>
      </c>
      <c r="V24" s="13" t="str">
        <f t="shared" si="5"/>
        <v>funded</v>
      </c>
    </row>
    <row r="25" spans="1:22" ht="48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 s="64">
        <f t="shared" si="4"/>
        <v>26.859942129631236</v>
      </c>
      <c r="V25" s="13" t="str">
        <f t="shared" si="5"/>
        <v>funded</v>
      </c>
    </row>
    <row r="26" spans="1:22" ht="3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 s="64">
        <f t="shared" si="4"/>
        <v>32.998576388898073</v>
      </c>
      <c r="V26" s="13" t="str">
        <f t="shared" si="5"/>
        <v>funded</v>
      </c>
    </row>
    <row r="27" spans="1:22" ht="48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 s="64">
        <f t="shared" si="4"/>
        <v>60</v>
      </c>
      <c r="V27" s="13" t="str">
        <f t="shared" si="5"/>
        <v>funded</v>
      </c>
    </row>
    <row r="28" spans="1:22" ht="48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 s="64">
        <f t="shared" si="4"/>
        <v>40</v>
      </c>
      <c r="V28" s="13" t="str">
        <f t="shared" si="5"/>
        <v>funded</v>
      </c>
    </row>
    <row r="29" spans="1:22" ht="48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 s="64">
        <f t="shared" si="4"/>
        <v>30.041666666671517</v>
      </c>
      <c r="V29" s="13" t="str">
        <f t="shared" si="5"/>
        <v>funded</v>
      </c>
    </row>
    <row r="30" spans="1:22" ht="3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 s="64">
        <f t="shared" si="4"/>
        <v>30</v>
      </c>
      <c r="V30" s="13" t="str">
        <f t="shared" si="5"/>
        <v>funded</v>
      </c>
    </row>
    <row r="31" spans="1:22" ht="48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 s="64">
        <f t="shared" si="4"/>
        <v>30</v>
      </c>
      <c r="V31" s="13" t="str">
        <f t="shared" si="5"/>
        <v>funded</v>
      </c>
    </row>
    <row r="32" spans="1:22" ht="48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 s="64">
        <f t="shared" si="4"/>
        <v>30</v>
      </c>
      <c r="V32" s="13" t="str">
        <f t="shared" si="5"/>
        <v>funded</v>
      </c>
    </row>
    <row r="33" spans="1:22" ht="48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 s="64">
        <f t="shared" si="4"/>
        <v>18</v>
      </c>
      <c r="V33" s="13" t="str">
        <f t="shared" si="5"/>
        <v>funded</v>
      </c>
    </row>
    <row r="34" spans="1:22" ht="48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 s="64">
        <f t="shared" si="4"/>
        <v>41.538460648152977</v>
      </c>
      <c r="V34" s="13" t="str">
        <f t="shared" si="5"/>
        <v>funded</v>
      </c>
    </row>
    <row r="35" spans="1:22" ht="48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 s="64">
        <f t="shared" si="4"/>
        <v>30.041666666671517</v>
      </c>
      <c r="V35" s="13" t="str">
        <f t="shared" si="5"/>
        <v>funded</v>
      </c>
    </row>
    <row r="36" spans="1:22" ht="48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 s="64">
        <f t="shared" si="4"/>
        <v>15</v>
      </c>
      <c r="V36" s="13" t="str">
        <f t="shared" si="5"/>
        <v>funded</v>
      </c>
    </row>
    <row r="37" spans="1:22" ht="3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 s="64">
        <f t="shared" si="4"/>
        <v>23.708171296297223</v>
      </c>
      <c r="V37" s="13" t="str">
        <f t="shared" si="5"/>
        <v>funded</v>
      </c>
    </row>
    <row r="38" spans="1:22" ht="3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 s="64">
        <f t="shared" si="4"/>
        <v>29.958333333328483</v>
      </c>
      <c r="V38" s="13" t="str">
        <f t="shared" si="5"/>
        <v>funded</v>
      </c>
    </row>
    <row r="39" spans="1:22" ht="48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 s="64">
        <f t="shared" si="4"/>
        <v>30</v>
      </c>
      <c r="V39" s="13" t="str">
        <f t="shared" si="5"/>
        <v>funded</v>
      </c>
    </row>
    <row r="40" spans="1:22" ht="48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 s="64">
        <f t="shared" si="4"/>
        <v>30</v>
      </c>
      <c r="V40" s="13" t="str">
        <f t="shared" si="5"/>
        <v>funded</v>
      </c>
    </row>
    <row r="41" spans="1:22" ht="48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 s="64">
        <f t="shared" si="4"/>
        <v>30.910555555557949</v>
      </c>
      <c r="V41" s="13" t="str">
        <f t="shared" si="5"/>
        <v>funded</v>
      </c>
    </row>
    <row r="42" spans="1:22" ht="48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 s="64">
        <f t="shared" si="4"/>
        <v>19.952685185184237</v>
      </c>
      <c r="V42" s="13" t="str">
        <f t="shared" si="5"/>
        <v>funded</v>
      </c>
    </row>
    <row r="43" spans="1:22" ht="48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 s="64">
        <f t="shared" si="4"/>
        <v>30</v>
      </c>
      <c r="V43" s="13" t="str">
        <f t="shared" si="5"/>
        <v>funded</v>
      </c>
    </row>
    <row r="44" spans="1:22" ht="48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 s="64">
        <f t="shared" si="4"/>
        <v>30</v>
      </c>
      <c r="V44" s="13" t="str">
        <f t="shared" si="5"/>
        <v>funded</v>
      </c>
    </row>
    <row r="45" spans="1:22" ht="48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 s="64">
        <f t="shared" si="4"/>
        <v>30.209652777775773</v>
      </c>
      <c r="V45" s="13" t="str">
        <f t="shared" si="5"/>
        <v>funded</v>
      </c>
    </row>
    <row r="46" spans="1:22" ht="48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 s="64">
        <f t="shared" si="4"/>
        <v>45</v>
      </c>
      <c r="V46" s="13" t="str">
        <f t="shared" si="5"/>
        <v>funded</v>
      </c>
    </row>
    <row r="47" spans="1:22" ht="48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 s="64">
        <f t="shared" si="4"/>
        <v>30</v>
      </c>
      <c r="V47" s="13" t="str">
        <f t="shared" si="5"/>
        <v>funded</v>
      </c>
    </row>
    <row r="48" spans="1:22" ht="48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 s="64">
        <f t="shared" si="4"/>
        <v>30</v>
      </c>
      <c r="V48" s="13" t="str">
        <f t="shared" si="5"/>
        <v>funded</v>
      </c>
    </row>
    <row r="49" spans="1:22" ht="48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 s="64">
        <f t="shared" si="4"/>
        <v>60.041666666664241</v>
      </c>
      <c r="V49" s="13" t="str">
        <f t="shared" si="5"/>
        <v>funded</v>
      </c>
    </row>
    <row r="50" spans="1:22" ht="48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 s="64">
        <f t="shared" si="4"/>
        <v>30.983101851852552</v>
      </c>
      <c r="V50" s="13" t="str">
        <f t="shared" si="5"/>
        <v>funded</v>
      </c>
    </row>
    <row r="51" spans="1:22" ht="16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 s="64">
        <f t="shared" si="4"/>
        <v>30</v>
      </c>
      <c r="V51" s="13" t="str">
        <f t="shared" si="5"/>
        <v>funded</v>
      </c>
    </row>
    <row r="52" spans="1:22" ht="48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 s="64">
        <f t="shared" si="4"/>
        <v>38.955347222217824</v>
      </c>
      <c r="V52" s="13" t="str">
        <f t="shared" si="5"/>
        <v>funded</v>
      </c>
    </row>
    <row r="53" spans="1:22" ht="48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 s="64">
        <f t="shared" si="4"/>
        <v>30</v>
      </c>
      <c r="V53" s="13" t="str">
        <f t="shared" si="5"/>
        <v>funded</v>
      </c>
    </row>
    <row r="54" spans="1:22" ht="48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 s="64">
        <f t="shared" si="4"/>
        <v>30</v>
      </c>
      <c r="V54" s="13" t="str">
        <f t="shared" si="5"/>
        <v>funded</v>
      </c>
    </row>
    <row r="55" spans="1:22" ht="3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 s="64">
        <f t="shared" si="4"/>
        <v>14.367534722223354</v>
      </c>
      <c r="V55" s="13" t="str">
        <f t="shared" si="5"/>
        <v>funded</v>
      </c>
    </row>
    <row r="56" spans="1:22" ht="48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 s="64">
        <f t="shared" si="4"/>
        <v>30</v>
      </c>
      <c r="V56" s="13" t="str">
        <f t="shared" si="5"/>
        <v>funded</v>
      </c>
    </row>
    <row r="57" spans="1:22" ht="48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 s="64">
        <f t="shared" si="4"/>
        <v>21</v>
      </c>
      <c r="V57" s="13" t="str">
        <f t="shared" si="5"/>
        <v>funded</v>
      </c>
    </row>
    <row r="58" spans="1:22" ht="3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 s="64">
        <f t="shared" si="4"/>
        <v>14.117777777784795</v>
      </c>
      <c r="V58" s="13" t="str">
        <f t="shared" si="5"/>
        <v>funded</v>
      </c>
    </row>
    <row r="59" spans="1:22" ht="48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 s="64">
        <f t="shared" si="4"/>
        <v>30</v>
      </c>
      <c r="V59" s="13" t="str">
        <f t="shared" si="5"/>
        <v>funded</v>
      </c>
    </row>
    <row r="60" spans="1:22" ht="3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 s="64">
        <f t="shared" si="4"/>
        <v>30.041666666664241</v>
      </c>
      <c r="V60" s="13" t="str">
        <f t="shared" si="5"/>
        <v>funded</v>
      </c>
    </row>
    <row r="61" spans="1:22" ht="48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 s="64">
        <f t="shared" si="4"/>
        <v>31.639166666660458</v>
      </c>
      <c r="V61" s="13" t="str">
        <f t="shared" si="5"/>
        <v>funded</v>
      </c>
    </row>
    <row r="62" spans="1:22" ht="48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 s="64">
        <f t="shared" si="4"/>
        <v>19.098182870373421</v>
      </c>
      <c r="V62" s="13" t="str">
        <f t="shared" si="5"/>
        <v>funded</v>
      </c>
    </row>
    <row r="63" spans="1:22" ht="48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 s="64">
        <f t="shared" si="4"/>
        <v>22</v>
      </c>
      <c r="V63" s="13" t="str">
        <f t="shared" si="5"/>
        <v>funded</v>
      </c>
    </row>
    <row r="64" spans="1:22" ht="48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 s="64">
        <f t="shared" si="4"/>
        <v>25</v>
      </c>
      <c r="V64" s="13" t="str">
        <f t="shared" si="5"/>
        <v>funded</v>
      </c>
    </row>
    <row r="65" spans="1:22" ht="48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 s="64">
        <f t="shared" si="4"/>
        <v>23.295451388890797</v>
      </c>
      <c r="V65" s="13" t="str">
        <f t="shared" si="5"/>
        <v>funded</v>
      </c>
    </row>
    <row r="66" spans="1:22" ht="48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 s="64">
        <f t="shared" si="4"/>
        <v>30</v>
      </c>
      <c r="V66" s="13" t="str">
        <f t="shared" si="5"/>
        <v>funded</v>
      </c>
    </row>
    <row r="67" spans="1:22" ht="3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 0)</f>
        <v>132.05000000000001</v>
      </c>
      <c r="Q67" s="10" t="s">
        <v>8307</v>
      </c>
      <c r="R67" t="s">
        <v>8309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 s="64">
        <f t="shared" ref="U67:V130" si="10">T67-S67</f>
        <v>26.428078703698702</v>
      </c>
      <c r="V67" s="13" t="str">
        <f t="shared" ref="V67:V130" si="11">IF(E67&gt;=D67, "funded", "underfunded")</f>
        <v>funded</v>
      </c>
    </row>
    <row r="68" spans="1:22" ht="3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8307</v>
      </c>
      <c r="R68" t="s">
        <v>8309</v>
      </c>
      <c r="S68" s="14">
        <f t="shared" si="8"/>
        <v>42539.849768518514</v>
      </c>
      <c r="T68" s="14">
        <f t="shared" si="9"/>
        <v>42569.849768518514</v>
      </c>
      <c r="U68" s="64">
        <f t="shared" si="10"/>
        <v>30</v>
      </c>
      <c r="V68" s="13" t="str">
        <f t="shared" si="11"/>
        <v>funded</v>
      </c>
    </row>
    <row r="69" spans="1:22" ht="48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8307</v>
      </c>
      <c r="R69" t="s">
        <v>8309</v>
      </c>
      <c r="S69" s="14">
        <f t="shared" si="8"/>
        <v>41075.583379629628</v>
      </c>
      <c r="T69" s="14">
        <f t="shared" si="9"/>
        <v>41105.583379629628</v>
      </c>
      <c r="U69" s="64">
        <f t="shared" si="10"/>
        <v>30</v>
      </c>
      <c r="V69" s="13" t="str">
        <f t="shared" si="11"/>
        <v>funded</v>
      </c>
    </row>
    <row r="70" spans="1:22" ht="6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8307</v>
      </c>
      <c r="R70" t="s">
        <v>8309</v>
      </c>
      <c r="S70" s="14">
        <f t="shared" si="8"/>
        <v>41663.569340277776</v>
      </c>
      <c r="T70" s="14">
        <f t="shared" si="9"/>
        <v>41693.569340277776</v>
      </c>
      <c r="U70" s="64">
        <f t="shared" si="10"/>
        <v>30</v>
      </c>
      <c r="V70" s="13" t="str">
        <f t="shared" si="11"/>
        <v>funded</v>
      </c>
    </row>
    <row r="71" spans="1:22" ht="48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8307</v>
      </c>
      <c r="R71" t="s">
        <v>8309</v>
      </c>
      <c r="S71" s="14">
        <f t="shared" si="8"/>
        <v>40786.187789351854</v>
      </c>
      <c r="T71" s="14">
        <f t="shared" si="9"/>
        <v>40818.290972222225</v>
      </c>
      <c r="U71" s="64">
        <f t="shared" si="10"/>
        <v>32.103182870370802</v>
      </c>
      <c r="V71" s="13" t="str">
        <f t="shared" si="11"/>
        <v>funded</v>
      </c>
    </row>
    <row r="72" spans="1:22" ht="48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8307</v>
      </c>
      <c r="R72" t="s">
        <v>8309</v>
      </c>
      <c r="S72" s="14">
        <f t="shared" si="8"/>
        <v>40730.896354166667</v>
      </c>
      <c r="T72" s="14">
        <f t="shared" si="9"/>
        <v>40790.896354166667</v>
      </c>
      <c r="U72" s="64">
        <f t="shared" si="10"/>
        <v>60</v>
      </c>
      <c r="V72" s="13" t="str">
        <f t="shared" si="11"/>
        <v>funded</v>
      </c>
    </row>
    <row r="73" spans="1:22" ht="48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8307</v>
      </c>
      <c r="R73" t="s">
        <v>8309</v>
      </c>
      <c r="S73" s="14">
        <f t="shared" si="8"/>
        <v>40997.271493055552</v>
      </c>
      <c r="T73" s="14">
        <f t="shared" si="9"/>
        <v>41057.271493055552</v>
      </c>
      <c r="U73" s="64">
        <f t="shared" si="10"/>
        <v>60</v>
      </c>
      <c r="V73" s="13" t="str">
        <f t="shared" si="11"/>
        <v>funded</v>
      </c>
    </row>
    <row r="74" spans="1:22" ht="48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8307</v>
      </c>
      <c r="R74" t="s">
        <v>8309</v>
      </c>
      <c r="S74" s="14">
        <f t="shared" si="8"/>
        <v>41208.010196759256</v>
      </c>
      <c r="T74" s="14">
        <f t="shared" si="9"/>
        <v>41228</v>
      </c>
      <c r="U74" s="64">
        <f t="shared" si="10"/>
        <v>19.98980324074364</v>
      </c>
      <c r="V74" s="13" t="str">
        <f t="shared" si="11"/>
        <v>funded</v>
      </c>
    </row>
    <row r="75" spans="1:22" ht="48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8307</v>
      </c>
      <c r="R75" t="s">
        <v>8309</v>
      </c>
      <c r="S75" s="14">
        <f t="shared" si="8"/>
        <v>40587.75675925926</v>
      </c>
      <c r="T75" s="14">
        <f t="shared" si="9"/>
        <v>40666.165972222225</v>
      </c>
      <c r="U75" s="64">
        <f t="shared" si="10"/>
        <v>78.409212962964375</v>
      </c>
      <c r="V75" s="13" t="str">
        <f t="shared" si="11"/>
        <v>funded</v>
      </c>
    </row>
    <row r="76" spans="1:22" ht="48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8307</v>
      </c>
      <c r="R76" t="s">
        <v>8309</v>
      </c>
      <c r="S76" s="14">
        <f t="shared" si="8"/>
        <v>42360.487210648149</v>
      </c>
      <c r="T76" s="14">
        <f t="shared" si="9"/>
        <v>42390.487210648149</v>
      </c>
      <c r="U76" s="64">
        <f t="shared" si="10"/>
        <v>30</v>
      </c>
      <c r="V76" s="13" t="str">
        <f t="shared" si="11"/>
        <v>funded</v>
      </c>
    </row>
    <row r="77" spans="1:22" ht="48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8307</v>
      </c>
      <c r="R77" t="s">
        <v>8309</v>
      </c>
      <c r="S77" s="14">
        <f t="shared" si="8"/>
        <v>41357.209166666667</v>
      </c>
      <c r="T77" s="14">
        <f t="shared" si="9"/>
        <v>41387.209166666667</v>
      </c>
      <c r="U77" s="64">
        <f t="shared" si="10"/>
        <v>30</v>
      </c>
      <c r="V77" s="13" t="str">
        <f t="shared" si="11"/>
        <v>funded</v>
      </c>
    </row>
    <row r="78" spans="1:22" ht="48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8307</v>
      </c>
      <c r="R78" t="s">
        <v>8309</v>
      </c>
      <c r="S78" s="14">
        <f t="shared" si="8"/>
        <v>40844.691643518519</v>
      </c>
      <c r="T78" s="14">
        <f t="shared" si="9"/>
        <v>40904.733310185184</v>
      </c>
      <c r="U78" s="64">
        <f t="shared" si="10"/>
        <v>60.041666666664241</v>
      </c>
      <c r="V78" s="13" t="str">
        <f t="shared" si="11"/>
        <v>funded</v>
      </c>
    </row>
    <row r="79" spans="1:22" ht="48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8307</v>
      </c>
      <c r="R79" t="s">
        <v>8309</v>
      </c>
      <c r="S79" s="14">
        <f t="shared" si="8"/>
        <v>40997.144872685189</v>
      </c>
      <c r="T79" s="14">
        <f t="shared" si="9"/>
        <v>41050.124305555553</v>
      </c>
      <c r="U79" s="64">
        <f t="shared" si="10"/>
        <v>52.97943287036469</v>
      </c>
      <c r="V79" s="13" t="str">
        <f t="shared" si="11"/>
        <v>funded</v>
      </c>
    </row>
    <row r="80" spans="1:22" ht="96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8307</v>
      </c>
      <c r="R80" t="s">
        <v>8309</v>
      </c>
      <c r="S80" s="14">
        <f t="shared" si="8"/>
        <v>42604.730567129634</v>
      </c>
      <c r="T80" s="14">
        <f t="shared" si="9"/>
        <v>42614.730567129634</v>
      </c>
      <c r="U80" s="64">
        <f t="shared" si="10"/>
        <v>10</v>
      </c>
      <c r="V80" s="13" t="str">
        <f t="shared" si="11"/>
        <v>funded</v>
      </c>
    </row>
    <row r="81" spans="1:22" ht="48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8307</v>
      </c>
      <c r="R81" t="s">
        <v>8309</v>
      </c>
      <c r="S81" s="14">
        <f t="shared" si="8"/>
        <v>41724.776539351849</v>
      </c>
      <c r="T81" s="14">
        <f t="shared" si="9"/>
        <v>41754.776539351849</v>
      </c>
      <c r="U81" s="64">
        <f t="shared" si="10"/>
        <v>30</v>
      </c>
      <c r="V81" s="13" t="str">
        <f t="shared" si="11"/>
        <v>funded</v>
      </c>
    </row>
    <row r="82" spans="1:22" ht="48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8307</v>
      </c>
      <c r="R82" t="s">
        <v>8309</v>
      </c>
      <c r="S82" s="14">
        <f t="shared" si="8"/>
        <v>41583.083981481483</v>
      </c>
      <c r="T82" s="14">
        <f t="shared" si="9"/>
        <v>41618.083981481483</v>
      </c>
      <c r="U82" s="64">
        <f t="shared" si="10"/>
        <v>35</v>
      </c>
      <c r="V82" s="13" t="str">
        <f t="shared" si="11"/>
        <v>funded</v>
      </c>
    </row>
    <row r="83" spans="1:22" ht="48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8307</v>
      </c>
      <c r="R83" t="s">
        <v>8309</v>
      </c>
      <c r="S83" s="14">
        <f t="shared" si="8"/>
        <v>41100.158877314818</v>
      </c>
      <c r="T83" s="14">
        <f t="shared" si="9"/>
        <v>41104.126388888886</v>
      </c>
      <c r="U83" s="64">
        <f t="shared" si="10"/>
        <v>3.9675115740683395</v>
      </c>
      <c r="V83" s="13" t="str">
        <f t="shared" si="11"/>
        <v>funded</v>
      </c>
    </row>
    <row r="84" spans="1:22" ht="48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8307</v>
      </c>
      <c r="R84" t="s">
        <v>8309</v>
      </c>
      <c r="S84" s="14">
        <f t="shared" si="8"/>
        <v>40795.820150462961</v>
      </c>
      <c r="T84" s="14">
        <f t="shared" si="9"/>
        <v>40825.820150462961</v>
      </c>
      <c r="U84" s="64">
        <f t="shared" si="10"/>
        <v>30</v>
      </c>
      <c r="V84" s="13" t="str">
        <f t="shared" si="11"/>
        <v>funded</v>
      </c>
    </row>
    <row r="85" spans="1:22" ht="48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8307</v>
      </c>
      <c r="R85" t="s">
        <v>8309</v>
      </c>
      <c r="S85" s="14">
        <f t="shared" si="8"/>
        <v>42042.615613425922</v>
      </c>
      <c r="T85" s="14">
        <f t="shared" si="9"/>
        <v>42057.479166666672</v>
      </c>
      <c r="U85" s="64">
        <f t="shared" si="10"/>
        <v>14.863553240749752</v>
      </c>
      <c r="V85" s="13" t="str">
        <f t="shared" si="11"/>
        <v>funded</v>
      </c>
    </row>
    <row r="86" spans="1:22" ht="48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8307</v>
      </c>
      <c r="R86" t="s">
        <v>8309</v>
      </c>
      <c r="S86" s="14">
        <f t="shared" si="8"/>
        <v>40648.757939814815</v>
      </c>
      <c r="T86" s="14">
        <f t="shared" si="9"/>
        <v>40678.757939814815</v>
      </c>
      <c r="U86" s="64">
        <f t="shared" si="10"/>
        <v>30</v>
      </c>
      <c r="V86" s="13" t="str">
        <f t="shared" si="11"/>
        <v>funded</v>
      </c>
    </row>
    <row r="87" spans="1:22" ht="48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8307</v>
      </c>
      <c r="R87" t="s">
        <v>8309</v>
      </c>
      <c r="S87" s="14">
        <f t="shared" si="8"/>
        <v>40779.125428240739</v>
      </c>
      <c r="T87" s="14">
        <f t="shared" si="9"/>
        <v>40809.125428240739</v>
      </c>
      <c r="U87" s="64">
        <f t="shared" si="10"/>
        <v>30</v>
      </c>
      <c r="V87" s="13" t="str">
        <f t="shared" si="11"/>
        <v>funded</v>
      </c>
    </row>
    <row r="88" spans="1:22" ht="48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8307</v>
      </c>
      <c r="R88" t="s">
        <v>8309</v>
      </c>
      <c r="S88" s="14">
        <f t="shared" si="8"/>
        <v>42291.556076388893</v>
      </c>
      <c r="T88" s="14">
        <f t="shared" si="9"/>
        <v>42365.59774305555</v>
      </c>
      <c r="U88" s="64">
        <f t="shared" si="10"/>
        <v>74.041666666656965</v>
      </c>
      <c r="V88" s="13" t="str">
        <f t="shared" si="11"/>
        <v>funded</v>
      </c>
    </row>
    <row r="89" spans="1:22" ht="48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8307</v>
      </c>
      <c r="R89" t="s">
        <v>8309</v>
      </c>
      <c r="S89" s="14">
        <f t="shared" si="8"/>
        <v>40322.53938657407</v>
      </c>
      <c r="T89" s="14">
        <f t="shared" si="9"/>
        <v>40332.070138888892</v>
      </c>
      <c r="U89" s="64">
        <f t="shared" si="10"/>
        <v>9.5307523148221662</v>
      </c>
      <c r="V89" s="13" t="str">
        <f t="shared" si="11"/>
        <v>funded</v>
      </c>
    </row>
    <row r="90" spans="1:22" ht="48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8307</v>
      </c>
      <c r="R90" t="s">
        <v>8309</v>
      </c>
      <c r="S90" s="14">
        <f t="shared" si="8"/>
        <v>41786.65892361111</v>
      </c>
      <c r="T90" s="14">
        <f t="shared" si="9"/>
        <v>41812.65892361111</v>
      </c>
      <c r="U90" s="64">
        <f t="shared" si="10"/>
        <v>26</v>
      </c>
      <c r="V90" s="13" t="str">
        <f t="shared" si="11"/>
        <v>funded</v>
      </c>
    </row>
    <row r="91" spans="1:22" ht="48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8307</v>
      </c>
      <c r="R91" t="s">
        <v>8309</v>
      </c>
      <c r="S91" s="14">
        <f t="shared" si="8"/>
        <v>41402.752222222225</v>
      </c>
      <c r="T91" s="14">
        <f t="shared" si="9"/>
        <v>41427.752222222225</v>
      </c>
      <c r="U91" s="64">
        <f t="shared" si="10"/>
        <v>25</v>
      </c>
      <c r="V91" s="13" t="str">
        <f t="shared" si="11"/>
        <v>funded</v>
      </c>
    </row>
    <row r="92" spans="1:22" ht="3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8307</v>
      </c>
      <c r="R92" t="s">
        <v>8309</v>
      </c>
      <c r="S92" s="14">
        <f t="shared" si="8"/>
        <v>40706.297442129631</v>
      </c>
      <c r="T92" s="14">
        <f t="shared" si="9"/>
        <v>40736.297442129631</v>
      </c>
      <c r="U92" s="64">
        <f t="shared" si="10"/>
        <v>30</v>
      </c>
      <c r="V92" s="13" t="str">
        <f t="shared" si="11"/>
        <v>funded</v>
      </c>
    </row>
    <row r="93" spans="1:22" ht="48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8307</v>
      </c>
      <c r="R93" t="s">
        <v>8309</v>
      </c>
      <c r="S93" s="14">
        <f t="shared" si="8"/>
        <v>40619.402361111112</v>
      </c>
      <c r="T93" s="14">
        <f t="shared" si="9"/>
        <v>40680.402361111112</v>
      </c>
      <c r="U93" s="64">
        <f t="shared" si="10"/>
        <v>61</v>
      </c>
      <c r="V93" s="13" t="str">
        <f t="shared" si="11"/>
        <v>funded</v>
      </c>
    </row>
    <row r="94" spans="1:22" ht="48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8307</v>
      </c>
      <c r="R94" t="s">
        <v>8309</v>
      </c>
      <c r="S94" s="14">
        <f t="shared" si="8"/>
        <v>42721.198877314819</v>
      </c>
      <c r="T94" s="14">
        <f t="shared" si="9"/>
        <v>42767.333333333328</v>
      </c>
      <c r="U94" s="64">
        <f t="shared" si="10"/>
        <v>46.134456018509809</v>
      </c>
      <c r="V94" s="13" t="str">
        <f t="shared" si="11"/>
        <v>funded</v>
      </c>
    </row>
    <row r="95" spans="1:22" ht="48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8307</v>
      </c>
      <c r="R95" t="s">
        <v>8309</v>
      </c>
      <c r="S95" s="14">
        <f t="shared" si="8"/>
        <v>41065.858067129629</v>
      </c>
      <c r="T95" s="14">
        <f t="shared" si="9"/>
        <v>41093.875</v>
      </c>
      <c r="U95" s="64">
        <f t="shared" si="10"/>
        <v>28.01693287037051</v>
      </c>
      <c r="V95" s="13" t="str">
        <f t="shared" si="11"/>
        <v>funded</v>
      </c>
    </row>
    <row r="96" spans="1:22" ht="48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8307</v>
      </c>
      <c r="R96" t="s">
        <v>8309</v>
      </c>
      <c r="S96" s="14">
        <f t="shared" si="8"/>
        <v>41716.717847222222</v>
      </c>
      <c r="T96" s="14">
        <f t="shared" si="9"/>
        <v>41736.717847222222</v>
      </c>
      <c r="U96" s="64">
        <f t="shared" si="10"/>
        <v>20</v>
      </c>
      <c r="V96" s="13" t="str">
        <f t="shared" si="11"/>
        <v>funded</v>
      </c>
    </row>
    <row r="97" spans="1:22" ht="48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8307</v>
      </c>
      <c r="R97" t="s">
        <v>8309</v>
      </c>
      <c r="S97" s="14">
        <f t="shared" si="8"/>
        <v>40935.005104166667</v>
      </c>
      <c r="T97" s="14">
        <f t="shared" si="9"/>
        <v>40965.005104166667</v>
      </c>
      <c r="U97" s="64">
        <f t="shared" si="10"/>
        <v>30</v>
      </c>
      <c r="V97" s="13" t="str">
        <f t="shared" si="11"/>
        <v>funded</v>
      </c>
    </row>
    <row r="98" spans="1:22" ht="48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8307</v>
      </c>
      <c r="R98" t="s">
        <v>8309</v>
      </c>
      <c r="S98" s="14">
        <f t="shared" si="8"/>
        <v>40324.662511574075</v>
      </c>
      <c r="T98" s="14">
        <f t="shared" si="9"/>
        <v>40391.125</v>
      </c>
      <c r="U98" s="64">
        <f t="shared" si="10"/>
        <v>66.462488425924676</v>
      </c>
      <c r="V98" s="13" t="str">
        <f t="shared" si="11"/>
        <v>funded</v>
      </c>
    </row>
    <row r="99" spans="1:22" ht="48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8307</v>
      </c>
      <c r="R99" t="s">
        <v>8309</v>
      </c>
      <c r="S99" s="14">
        <f t="shared" si="8"/>
        <v>40706.135208333333</v>
      </c>
      <c r="T99" s="14">
        <f t="shared" si="9"/>
        <v>40736.135208333333</v>
      </c>
      <c r="U99" s="64">
        <f t="shared" si="10"/>
        <v>30</v>
      </c>
      <c r="V99" s="13" t="str">
        <f t="shared" si="11"/>
        <v>funded</v>
      </c>
    </row>
    <row r="100" spans="1:22" ht="48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8307</v>
      </c>
      <c r="R100" t="s">
        <v>8309</v>
      </c>
      <c r="S100" s="14">
        <f t="shared" si="8"/>
        <v>41214.79483796296</v>
      </c>
      <c r="T100" s="14">
        <f t="shared" si="9"/>
        <v>41250.979166666664</v>
      </c>
      <c r="U100" s="64">
        <f t="shared" si="10"/>
        <v>36.184328703704523</v>
      </c>
      <c r="V100" s="13" t="str">
        <f t="shared" si="11"/>
        <v>funded</v>
      </c>
    </row>
    <row r="101" spans="1:22" ht="3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8307</v>
      </c>
      <c r="R101" t="s">
        <v>8309</v>
      </c>
      <c r="S101" s="14">
        <f t="shared" si="8"/>
        <v>41631.902766203704</v>
      </c>
      <c r="T101" s="14">
        <f t="shared" si="9"/>
        <v>41661.902766203704</v>
      </c>
      <c r="U101" s="64">
        <f t="shared" si="10"/>
        <v>30</v>
      </c>
      <c r="V101" s="13" t="str">
        <f t="shared" si="11"/>
        <v>funded</v>
      </c>
    </row>
    <row r="102" spans="1:22" ht="48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8307</v>
      </c>
      <c r="R102" t="s">
        <v>8309</v>
      </c>
      <c r="S102" s="14">
        <f t="shared" si="8"/>
        <v>41197.753310185188</v>
      </c>
      <c r="T102" s="14">
        <f t="shared" si="9"/>
        <v>41217.794976851852</v>
      </c>
      <c r="U102" s="64">
        <f t="shared" si="10"/>
        <v>20.041666666664241</v>
      </c>
      <c r="V102" s="13" t="str">
        <f t="shared" si="11"/>
        <v>funded</v>
      </c>
    </row>
    <row r="103" spans="1:22" ht="48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8307</v>
      </c>
      <c r="R103" t="s">
        <v>8309</v>
      </c>
      <c r="S103" s="14">
        <f t="shared" si="8"/>
        <v>41274.776736111111</v>
      </c>
      <c r="T103" s="14">
        <f t="shared" si="9"/>
        <v>41298.776736111111</v>
      </c>
      <c r="U103" s="64">
        <f t="shared" si="10"/>
        <v>24</v>
      </c>
      <c r="V103" s="13" t="str">
        <f t="shared" si="11"/>
        <v>funded</v>
      </c>
    </row>
    <row r="104" spans="1:22" ht="48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8307</v>
      </c>
      <c r="R104" t="s">
        <v>8309</v>
      </c>
      <c r="S104" s="14">
        <f t="shared" si="8"/>
        <v>40505.131168981483</v>
      </c>
      <c r="T104" s="14">
        <f t="shared" si="9"/>
        <v>40535.131168981483</v>
      </c>
      <c r="U104" s="64">
        <f t="shared" si="10"/>
        <v>30</v>
      </c>
      <c r="V104" s="13" t="str">
        <f t="shared" si="11"/>
        <v>funded</v>
      </c>
    </row>
    <row r="105" spans="1:22" ht="3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8307</v>
      </c>
      <c r="R105" t="s">
        <v>8309</v>
      </c>
      <c r="S105" s="14">
        <f t="shared" si="8"/>
        <v>41682.805902777778</v>
      </c>
      <c r="T105" s="14">
        <f t="shared" si="9"/>
        <v>41705.805902777778</v>
      </c>
      <c r="U105" s="64">
        <f t="shared" si="10"/>
        <v>23</v>
      </c>
      <c r="V105" s="13" t="str">
        <f t="shared" si="11"/>
        <v>funded</v>
      </c>
    </row>
    <row r="106" spans="1:22" ht="3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8307</v>
      </c>
      <c r="R106" t="s">
        <v>8309</v>
      </c>
      <c r="S106" s="14">
        <f t="shared" si="8"/>
        <v>40612.695208333331</v>
      </c>
      <c r="T106" s="14">
        <f t="shared" si="9"/>
        <v>40636.041666666664</v>
      </c>
      <c r="U106" s="64">
        <f t="shared" si="10"/>
        <v>23.34645833333343</v>
      </c>
      <c r="V106" s="13" t="str">
        <f t="shared" si="11"/>
        <v>funded</v>
      </c>
    </row>
    <row r="107" spans="1:22" ht="48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8307</v>
      </c>
      <c r="R107" t="s">
        <v>8309</v>
      </c>
      <c r="S107" s="14">
        <f t="shared" si="8"/>
        <v>42485.724768518514</v>
      </c>
      <c r="T107" s="14">
        <f t="shared" si="9"/>
        <v>42504</v>
      </c>
      <c r="U107" s="64">
        <f t="shared" si="10"/>
        <v>18.275231481486117</v>
      </c>
      <c r="V107" s="13" t="str">
        <f t="shared" si="11"/>
        <v>funded</v>
      </c>
    </row>
    <row r="108" spans="1:22" ht="16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8307</v>
      </c>
      <c r="R108" t="s">
        <v>8309</v>
      </c>
      <c r="S108" s="14">
        <f t="shared" si="8"/>
        <v>40987.776631944449</v>
      </c>
      <c r="T108" s="14">
        <f t="shared" si="9"/>
        <v>41001.776631944449</v>
      </c>
      <c r="U108" s="64">
        <f t="shared" si="10"/>
        <v>14</v>
      </c>
      <c r="V108" s="13" t="str">
        <f t="shared" si="11"/>
        <v>funded</v>
      </c>
    </row>
    <row r="109" spans="1:22" ht="48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8307</v>
      </c>
      <c r="R109" t="s">
        <v>8309</v>
      </c>
      <c r="S109" s="14">
        <f t="shared" si="8"/>
        <v>40635.982488425929</v>
      </c>
      <c r="T109" s="14">
        <f t="shared" si="9"/>
        <v>40657.982488425929</v>
      </c>
      <c r="U109" s="64">
        <f t="shared" si="10"/>
        <v>22</v>
      </c>
      <c r="V109" s="13" t="str">
        <f t="shared" si="11"/>
        <v>funded</v>
      </c>
    </row>
    <row r="110" spans="1:22" ht="48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8307</v>
      </c>
      <c r="R110" t="s">
        <v>8309</v>
      </c>
      <c r="S110" s="14">
        <f t="shared" si="8"/>
        <v>41365.613078703704</v>
      </c>
      <c r="T110" s="14">
        <f t="shared" si="9"/>
        <v>41425.613078703704</v>
      </c>
      <c r="U110" s="64">
        <f t="shared" si="10"/>
        <v>60</v>
      </c>
      <c r="V110" s="13" t="str">
        <f t="shared" si="11"/>
        <v>funded</v>
      </c>
    </row>
    <row r="111" spans="1:22" ht="48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8307</v>
      </c>
      <c r="R111" t="s">
        <v>8309</v>
      </c>
      <c r="S111" s="14">
        <f t="shared" si="8"/>
        <v>40570.025810185187</v>
      </c>
      <c r="T111" s="14">
        <f t="shared" si="9"/>
        <v>40600.025810185187</v>
      </c>
      <c r="U111" s="64">
        <f t="shared" si="10"/>
        <v>30</v>
      </c>
      <c r="V111" s="13" t="str">
        <f t="shared" si="11"/>
        <v>funded</v>
      </c>
    </row>
    <row r="112" spans="1:22" ht="48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8307</v>
      </c>
      <c r="R112" t="s">
        <v>8309</v>
      </c>
      <c r="S112" s="14">
        <f t="shared" si="8"/>
        <v>41557.949687500004</v>
      </c>
      <c r="T112" s="14">
        <f t="shared" si="9"/>
        <v>41592.249305555553</v>
      </c>
      <c r="U112" s="64">
        <f t="shared" si="10"/>
        <v>34.299618055549217</v>
      </c>
      <c r="V112" s="13" t="str">
        <f t="shared" si="11"/>
        <v>funded</v>
      </c>
    </row>
    <row r="113" spans="1:22" ht="48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8307</v>
      </c>
      <c r="R113" t="s">
        <v>8309</v>
      </c>
      <c r="S113" s="14">
        <f t="shared" si="8"/>
        <v>42125.333182870367</v>
      </c>
      <c r="T113" s="14">
        <f t="shared" si="9"/>
        <v>42155.333182870367</v>
      </c>
      <c r="U113" s="64">
        <f t="shared" si="10"/>
        <v>30</v>
      </c>
      <c r="V113" s="13" t="str">
        <f t="shared" si="11"/>
        <v>funded</v>
      </c>
    </row>
    <row r="114" spans="1:22" ht="48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8307</v>
      </c>
      <c r="R114" t="s">
        <v>8309</v>
      </c>
      <c r="S114" s="14">
        <f t="shared" si="8"/>
        <v>41718.043032407404</v>
      </c>
      <c r="T114" s="14">
        <f t="shared" si="9"/>
        <v>41742.083333333336</v>
      </c>
      <c r="U114" s="64">
        <f t="shared" si="10"/>
        <v>24.04030092593166</v>
      </c>
      <c r="V114" s="13" t="str">
        <f t="shared" si="11"/>
        <v>funded</v>
      </c>
    </row>
    <row r="115" spans="1:22" ht="3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8307</v>
      </c>
      <c r="R115" t="s">
        <v>8309</v>
      </c>
      <c r="S115" s="14">
        <f t="shared" si="8"/>
        <v>40753.758425925924</v>
      </c>
      <c r="T115" s="14">
        <f t="shared" si="9"/>
        <v>40761.625</v>
      </c>
      <c r="U115" s="64">
        <f t="shared" si="10"/>
        <v>7.8665740740761976</v>
      </c>
      <c r="V115" s="13" t="str">
        <f t="shared" si="11"/>
        <v>funded</v>
      </c>
    </row>
    <row r="116" spans="1:22" ht="48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8307</v>
      </c>
      <c r="R116" t="s">
        <v>8309</v>
      </c>
      <c r="S116" s="14">
        <f t="shared" si="8"/>
        <v>40861.27416666667</v>
      </c>
      <c r="T116" s="14">
        <f t="shared" si="9"/>
        <v>40921.27416666667</v>
      </c>
      <c r="U116" s="64">
        <f t="shared" si="10"/>
        <v>60</v>
      </c>
      <c r="V116" s="13" t="str">
        <f t="shared" si="11"/>
        <v>funded</v>
      </c>
    </row>
    <row r="117" spans="1:22" ht="16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8307</v>
      </c>
      <c r="R117" t="s">
        <v>8309</v>
      </c>
      <c r="S117" s="14">
        <f t="shared" si="8"/>
        <v>40918.738935185182</v>
      </c>
      <c r="T117" s="14">
        <f t="shared" si="9"/>
        <v>40943.738935185182</v>
      </c>
      <c r="U117" s="64">
        <f t="shared" si="10"/>
        <v>25</v>
      </c>
      <c r="V117" s="13" t="str">
        <f t="shared" si="11"/>
        <v>funded</v>
      </c>
    </row>
    <row r="118" spans="1:22" ht="48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8307</v>
      </c>
      <c r="R118" t="s">
        <v>8309</v>
      </c>
      <c r="S118" s="14">
        <f t="shared" si="8"/>
        <v>40595.497164351851</v>
      </c>
      <c r="T118" s="14">
        <f t="shared" si="9"/>
        <v>40641.455497685187</v>
      </c>
      <c r="U118" s="64">
        <f t="shared" si="10"/>
        <v>45.958333333335759</v>
      </c>
      <c r="V118" s="13" t="str">
        <f t="shared" si="11"/>
        <v>funded</v>
      </c>
    </row>
    <row r="119" spans="1:22" ht="48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8307</v>
      </c>
      <c r="R119" t="s">
        <v>8309</v>
      </c>
      <c r="S119" s="14">
        <f t="shared" si="8"/>
        <v>40248.834999999999</v>
      </c>
      <c r="T119" s="14">
        <f t="shared" si="9"/>
        <v>40338.791666666664</v>
      </c>
      <c r="U119" s="64">
        <f t="shared" si="10"/>
        <v>89.956666666665114</v>
      </c>
      <c r="V119" s="13" t="str">
        <f t="shared" si="11"/>
        <v>funded</v>
      </c>
    </row>
    <row r="120" spans="1:22" ht="3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8307</v>
      </c>
      <c r="R120" t="s">
        <v>8309</v>
      </c>
      <c r="S120" s="14">
        <f t="shared" si="8"/>
        <v>40723.053657407407</v>
      </c>
      <c r="T120" s="14">
        <f t="shared" si="9"/>
        <v>40753.053657407407</v>
      </c>
      <c r="U120" s="64">
        <f t="shared" si="10"/>
        <v>30</v>
      </c>
      <c r="V120" s="13" t="str">
        <f t="shared" si="11"/>
        <v>funded</v>
      </c>
    </row>
    <row r="121" spans="1:22" ht="48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8307</v>
      </c>
      <c r="R121" t="s">
        <v>8309</v>
      </c>
      <c r="S121" s="14">
        <f t="shared" si="8"/>
        <v>40739.069282407407</v>
      </c>
      <c r="T121" s="14">
        <f t="shared" si="9"/>
        <v>40768.958333333336</v>
      </c>
      <c r="U121" s="64">
        <f t="shared" si="10"/>
        <v>29.889050925929041</v>
      </c>
      <c r="V121" s="13" t="str">
        <f t="shared" si="11"/>
        <v>funded</v>
      </c>
    </row>
    <row r="122" spans="1:22" ht="48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8307</v>
      </c>
      <c r="R122" t="s">
        <v>8310</v>
      </c>
      <c r="S122" s="14">
        <f t="shared" si="8"/>
        <v>42616.049849537041</v>
      </c>
      <c r="T122" s="14">
        <f t="shared" si="9"/>
        <v>42646.049849537041</v>
      </c>
      <c r="U122" s="64">
        <f t="shared" si="10"/>
        <v>30</v>
      </c>
      <c r="V122" s="13" t="str">
        <f t="shared" si="11"/>
        <v>underfunded</v>
      </c>
    </row>
    <row r="123" spans="1:22" ht="48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8307</v>
      </c>
      <c r="R123" t="s">
        <v>8310</v>
      </c>
      <c r="S123" s="14">
        <f t="shared" si="8"/>
        <v>42096.704976851848</v>
      </c>
      <c r="T123" s="14">
        <f t="shared" si="9"/>
        <v>42112.427777777775</v>
      </c>
      <c r="U123" s="64">
        <f t="shared" si="10"/>
        <v>15.722800925927004</v>
      </c>
      <c r="V123" s="13" t="str">
        <f t="shared" si="11"/>
        <v>underfunded</v>
      </c>
    </row>
    <row r="124" spans="1:22" ht="3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8307</v>
      </c>
      <c r="R124" t="s">
        <v>8310</v>
      </c>
      <c r="S124" s="14">
        <f t="shared" si="8"/>
        <v>42593.431793981479</v>
      </c>
      <c r="T124" s="14">
        <f t="shared" si="9"/>
        <v>42653.431793981479</v>
      </c>
      <c r="U124" s="64">
        <f t="shared" si="10"/>
        <v>60</v>
      </c>
      <c r="V124" s="13" t="str">
        <f t="shared" si="11"/>
        <v>underfunded</v>
      </c>
    </row>
    <row r="125" spans="1:22" ht="48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8307</v>
      </c>
      <c r="R125" t="s">
        <v>8310</v>
      </c>
      <c r="S125" s="14">
        <f t="shared" si="8"/>
        <v>41904.781990740739</v>
      </c>
      <c r="T125" s="14">
        <f t="shared" si="9"/>
        <v>41940.916666666664</v>
      </c>
      <c r="U125" s="64">
        <f t="shared" si="10"/>
        <v>36.134675925924967</v>
      </c>
      <c r="V125" s="13" t="str">
        <f t="shared" si="11"/>
        <v>underfunded</v>
      </c>
    </row>
    <row r="126" spans="1:22" ht="48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8307</v>
      </c>
      <c r="R126" t="s">
        <v>8310</v>
      </c>
      <c r="S126" s="14">
        <f t="shared" si="8"/>
        <v>42114.928726851853</v>
      </c>
      <c r="T126" s="14">
        <f t="shared" si="9"/>
        <v>42139.928726851853</v>
      </c>
      <c r="U126" s="64">
        <f t="shared" si="10"/>
        <v>25</v>
      </c>
      <c r="V126" s="13" t="str">
        <f t="shared" si="11"/>
        <v>underfunded</v>
      </c>
    </row>
    <row r="127" spans="1:22" ht="48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8307</v>
      </c>
      <c r="R127" t="s">
        <v>8310</v>
      </c>
      <c r="S127" s="14">
        <f t="shared" si="8"/>
        <v>42709.993981481486</v>
      </c>
      <c r="T127" s="14">
        <f t="shared" si="9"/>
        <v>42769.993981481486</v>
      </c>
      <c r="U127" s="64">
        <f t="shared" si="10"/>
        <v>60</v>
      </c>
      <c r="V127" s="13" t="str">
        <f t="shared" si="11"/>
        <v>underfunded</v>
      </c>
    </row>
    <row r="128" spans="1:22" ht="48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8307</v>
      </c>
      <c r="R128" t="s">
        <v>8310</v>
      </c>
      <c r="S128" s="14">
        <f t="shared" si="8"/>
        <v>42135.589548611111</v>
      </c>
      <c r="T128" s="14">
        <f t="shared" si="9"/>
        <v>42166.083333333328</v>
      </c>
      <c r="U128" s="64">
        <f t="shared" si="10"/>
        <v>30.493784722217242</v>
      </c>
      <c r="V128" s="13" t="str">
        <f t="shared" si="11"/>
        <v>underfunded</v>
      </c>
    </row>
    <row r="129" spans="1:22" ht="48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8307</v>
      </c>
      <c r="R129" t="s">
        <v>8310</v>
      </c>
      <c r="S129" s="14">
        <f t="shared" si="8"/>
        <v>42067.62431712963</v>
      </c>
      <c r="T129" s="14">
        <f t="shared" si="9"/>
        <v>42097.582650462966</v>
      </c>
      <c r="U129" s="64">
        <f t="shared" si="10"/>
        <v>29.958333333335759</v>
      </c>
      <c r="V129" s="13" t="str">
        <f t="shared" si="11"/>
        <v>underfunded</v>
      </c>
    </row>
    <row r="130" spans="1:22" ht="3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8307</v>
      </c>
      <c r="R130" t="s">
        <v>8310</v>
      </c>
      <c r="S130" s="14">
        <f t="shared" si="8"/>
        <v>42628.22792824074</v>
      </c>
      <c r="T130" s="14">
        <f t="shared" si="9"/>
        <v>42663.22792824074</v>
      </c>
      <c r="U130" s="64">
        <f t="shared" si="10"/>
        <v>35</v>
      </c>
      <c r="V130" s="13" t="str">
        <f t="shared" si="11"/>
        <v>underfunded</v>
      </c>
    </row>
    <row r="131" spans="1:22" ht="48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ROUND(E131/D131*100,0)</f>
        <v>0</v>
      </c>
      <c r="P131">
        <f t="shared" ref="P131:P194" si="13">IFERROR(ROUND(E131/L131,2), 0)</f>
        <v>0</v>
      </c>
      <c r="Q131" s="10" t="s">
        <v>8307</v>
      </c>
      <c r="R131" t="s">
        <v>8310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 s="64">
        <f t="shared" ref="U131:V194" si="16">T131-S131</f>
        <v>60</v>
      </c>
      <c r="V131" s="13" t="str">
        <f t="shared" ref="V131:V194" si="17">IF(E131&gt;=D131, "funded", "underfunded")</f>
        <v>underfunded</v>
      </c>
    </row>
    <row r="132" spans="1:22" ht="48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0" t="s">
        <v>8307</v>
      </c>
      <c r="R132" t="s">
        <v>8310</v>
      </c>
      <c r="S132" s="14">
        <f t="shared" si="14"/>
        <v>41778.915416666663</v>
      </c>
      <c r="T132" s="14">
        <f t="shared" si="15"/>
        <v>41806.844444444447</v>
      </c>
      <c r="U132" s="64">
        <f t="shared" si="16"/>
        <v>27.929027777783631</v>
      </c>
      <c r="V132" s="13" t="str">
        <f t="shared" si="17"/>
        <v>underfunded</v>
      </c>
    </row>
    <row r="133" spans="1:22" ht="16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0" t="s">
        <v>8307</v>
      </c>
      <c r="R133" t="s">
        <v>8310</v>
      </c>
      <c r="S133" s="14">
        <f t="shared" si="14"/>
        <v>42541.837511574078</v>
      </c>
      <c r="T133" s="14">
        <f t="shared" si="15"/>
        <v>42557</v>
      </c>
      <c r="U133" s="64">
        <f t="shared" si="16"/>
        <v>15.162488425921765</v>
      </c>
      <c r="V133" s="13" t="str">
        <f t="shared" si="17"/>
        <v>underfunded</v>
      </c>
    </row>
    <row r="134" spans="1:22" ht="48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8307</v>
      </c>
      <c r="R134" t="s">
        <v>8310</v>
      </c>
      <c r="S134" s="14">
        <f t="shared" si="14"/>
        <v>41905.812581018516</v>
      </c>
      <c r="T134" s="14">
        <f t="shared" si="15"/>
        <v>41950.854247685187</v>
      </c>
      <c r="U134" s="64">
        <f t="shared" si="16"/>
        <v>45.041666666671517</v>
      </c>
      <c r="V134" s="13" t="str">
        <f t="shared" si="17"/>
        <v>underfunded</v>
      </c>
    </row>
    <row r="135" spans="1:22" ht="3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0" t="s">
        <v>8307</v>
      </c>
      <c r="R135" t="s">
        <v>8310</v>
      </c>
      <c r="S135" s="14">
        <f t="shared" si="14"/>
        <v>42491.80768518518</v>
      </c>
      <c r="T135" s="14">
        <f t="shared" si="15"/>
        <v>42521.729861111111</v>
      </c>
      <c r="U135" s="64">
        <f t="shared" si="16"/>
        <v>29.922175925930787</v>
      </c>
      <c r="V135" s="13" t="str">
        <f t="shared" si="17"/>
        <v>underfunded</v>
      </c>
    </row>
    <row r="136" spans="1:22" ht="3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0" t="s">
        <v>8307</v>
      </c>
      <c r="R136" t="s">
        <v>8310</v>
      </c>
      <c r="S136" s="14">
        <f t="shared" si="14"/>
        <v>42221.909930555557</v>
      </c>
      <c r="T136" s="14">
        <f t="shared" si="15"/>
        <v>42251.708333333328</v>
      </c>
      <c r="U136" s="64">
        <f t="shared" si="16"/>
        <v>29.798402777771116</v>
      </c>
      <c r="V136" s="13" t="str">
        <f t="shared" si="17"/>
        <v>underfunded</v>
      </c>
    </row>
    <row r="137" spans="1:22" ht="48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8307</v>
      </c>
      <c r="R137" t="s">
        <v>8310</v>
      </c>
      <c r="S137" s="14">
        <f t="shared" si="14"/>
        <v>41788.381909722222</v>
      </c>
      <c r="T137" s="14">
        <f t="shared" si="15"/>
        <v>41821.791666666664</v>
      </c>
      <c r="U137" s="64">
        <f t="shared" si="16"/>
        <v>33.409756944442051</v>
      </c>
      <c r="V137" s="13" t="str">
        <f t="shared" si="17"/>
        <v>underfunded</v>
      </c>
    </row>
    <row r="138" spans="1:22" ht="48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0" t="s">
        <v>8307</v>
      </c>
      <c r="R138" t="s">
        <v>8310</v>
      </c>
      <c r="S138" s="14">
        <f t="shared" si="14"/>
        <v>42096.410115740742</v>
      </c>
      <c r="T138" s="14">
        <f t="shared" si="15"/>
        <v>42140.427777777775</v>
      </c>
      <c r="U138" s="64">
        <f t="shared" si="16"/>
        <v>44.017662037033006</v>
      </c>
      <c r="V138" s="13" t="str">
        <f t="shared" si="17"/>
        <v>underfunded</v>
      </c>
    </row>
    <row r="139" spans="1:22" ht="48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0" t="s">
        <v>8307</v>
      </c>
      <c r="R139" t="s">
        <v>8310</v>
      </c>
      <c r="S139" s="14">
        <f t="shared" si="14"/>
        <v>42239.573993055557</v>
      </c>
      <c r="T139" s="14">
        <f t="shared" si="15"/>
        <v>42289.573993055557</v>
      </c>
      <c r="U139" s="64">
        <f t="shared" si="16"/>
        <v>50</v>
      </c>
      <c r="V139" s="13" t="str">
        <f t="shared" si="17"/>
        <v>underfunded</v>
      </c>
    </row>
    <row r="140" spans="1:22" ht="48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8307</v>
      </c>
      <c r="R140" t="s">
        <v>8310</v>
      </c>
      <c r="S140" s="14">
        <f t="shared" si="14"/>
        <v>42186.257418981477</v>
      </c>
      <c r="T140" s="14">
        <f t="shared" si="15"/>
        <v>42217.207638888889</v>
      </c>
      <c r="U140" s="64">
        <f t="shared" si="16"/>
        <v>30.950219907412247</v>
      </c>
      <c r="V140" s="13" t="str">
        <f t="shared" si="17"/>
        <v>underfunded</v>
      </c>
    </row>
    <row r="141" spans="1:22" ht="3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8307</v>
      </c>
      <c r="R141" t="s">
        <v>8310</v>
      </c>
      <c r="S141" s="14">
        <f t="shared" si="14"/>
        <v>42187.920972222222</v>
      </c>
      <c r="T141" s="14">
        <f t="shared" si="15"/>
        <v>42197.920972222222</v>
      </c>
      <c r="U141" s="64">
        <f t="shared" si="16"/>
        <v>10</v>
      </c>
      <c r="V141" s="13" t="str">
        <f t="shared" si="17"/>
        <v>funded</v>
      </c>
    </row>
    <row r="142" spans="1:22" ht="48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0" t="s">
        <v>8307</v>
      </c>
      <c r="R142" t="s">
        <v>8310</v>
      </c>
      <c r="S142" s="14">
        <f t="shared" si="14"/>
        <v>42053.198287037041</v>
      </c>
      <c r="T142" s="14">
        <f t="shared" si="15"/>
        <v>42083.15662037037</v>
      </c>
      <c r="U142" s="64">
        <f t="shared" si="16"/>
        <v>29.958333333328483</v>
      </c>
      <c r="V142" s="13" t="str">
        <f t="shared" si="17"/>
        <v>underfunded</v>
      </c>
    </row>
    <row r="143" spans="1:22" ht="48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8307</v>
      </c>
      <c r="R143" t="s">
        <v>8310</v>
      </c>
      <c r="S143" s="14">
        <f t="shared" si="14"/>
        <v>42110.153043981481</v>
      </c>
      <c r="T143" s="14">
        <f t="shared" si="15"/>
        <v>42155.153043981481</v>
      </c>
      <c r="U143" s="64">
        <f t="shared" si="16"/>
        <v>45</v>
      </c>
      <c r="V143" s="13" t="str">
        <f t="shared" si="17"/>
        <v>underfunded</v>
      </c>
    </row>
    <row r="144" spans="1:22" ht="48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8307</v>
      </c>
      <c r="R144" t="s">
        <v>8310</v>
      </c>
      <c r="S144" s="14">
        <f t="shared" si="14"/>
        <v>41938.893263888887</v>
      </c>
      <c r="T144" s="14">
        <f t="shared" si="15"/>
        <v>41959.934930555552</v>
      </c>
      <c r="U144" s="64">
        <f t="shared" si="16"/>
        <v>21.041666666664241</v>
      </c>
      <c r="V144" s="13" t="str">
        <f t="shared" si="17"/>
        <v>underfunded</v>
      </c>
    </row>
    <row r="145" spans="1:22" ht="48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0" t="s">
        <v>8307</v>
      </c>
      <c r="R145" t="s">
        <v>8310</v>
      </c>
      <c r="S145" s="14">
        <f t="shared" si="14"/>
        <v>42559.064143518524</v>
      </c>
      <c r="T145" s="14">
        <f t="shared" si="15"/>
        <v>42616.246527777781</v>
      </c>
      <c r="U145" s="64">
        <f t="shared" si="16"/>
        <v>57.182384259256651</v>
      </c>
      <c r="V145" s="13" t="str">
        <f t="shared" si="17"/>
        <v>underfunded</v>
      </c>
    </row>
    <row r="146" spans="1:22" ht="48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8307</v>
      </c>
      <c r="R146" t="s">
        <v>8310</v>
      </c>
      <c r="S146" s="14">
        <f t="shared" si="14"/>
        <v>42047.762407407412</v>
      </c>
      <c r="T146" s="14">
        <f t="shared" si="15"/>
        <v>42107.72074074074</v>
      </c>
      <c r="U146" s="64">
        <f t="shared" si="16"/>
        <v>59.958333333328483</v>
      </c>
      <c r="V146" s="13" t="str">
        <f t="shared" si="17"/>
        <v>underfunded</v>
      </c>
    </row>
    <row r="147" spans="1:22" ht="48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8307</v>
      </c>
      <c r="R147" t="s">
        <v>8310</v>
      </c>
      <c r="S147" s="14">
        <f t="shared" si="14"/>
        <v>42200.542268518519</v>
      </c>
      <c r="T147" s="14">
        <f t="shared" si="15"/>
        <v>42227.542268518519</v>
      </c>
      <c r="U147" s="64">
        <f t="shared" si="16"/>
        <v>27</v>
      </c>
      <c r="V147" s="13" t="str">
        <f t="shared" si="17"/>
        <v>underfunded</v>
      </c>
    </row>
    <row r="148" spans="1:22" ht="48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8307</v>
      </c>
      <c r="R148" t="s">
        <v>8310</v>
      </c>
      <c r="S148" s="14">
        <f t="shared" si="14"/>
        <v>42693.016180555554</v>
      </c>
      <c r="T148" s="14">
        <f t="shared" si="15"/>
        <v>42753.016180555554</v>
      </c>
      <c r="U148" s="64">
        <f t="shared" si="16"/>
        <v>60</v>
      </c>
      <c r="V148" s="13" t="str">
        <f t="shared" si="17"/>
        <v>underfunded</v>
      </c>
    </row>
    <row r="149" spans="1:22" ht="3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0" t="s">
        <v>8307</v>
      </c>
      <c r="R149" t="s">
        <v>8310</v>
      </c>
      <c r="S149" s="14">
        <f t="shared" si="14"/>
        <v>41969.767824074079</v>
      </c>
      <c r="T149" s="14">
        <f t="shared" si="15"/>
        <v>42012.762499999997</v>
      </c>
      <c r="U149" s="64">
        <f t="shared" si="16"/>
        <v>42.994675925918273</v>
      </c>
      <c r="V149" s="13" t="str">
        <f t="shared" si="17"/>
        <v>underfunded</v>
      </c>
    </row>
    <row r="150" spans="1:22" ht="48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8307</v>
      </c>
      <c r="R150" t="s">
        <v>8310</v>
      </c>
      <c r="S150" s="14">
        <f t="shared" si="14"/>
        <v>42397.281666666662</v>
      </c>
      <c r="T150" s="14">
        <f t="shared" si="15"/>
        <v>42427.281666666662</v>
      </c>
      <c r="U150" s="64">
        <f t="shared" si="16"/>
        <v>30</v>
      </c>
      <c r="V150" s="13" t="str">
        <f t="shared" si="17"/>
        <v>underfunded</v>
      </c>
    </row>
    <row r="151" spans="1:22" ht="48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8307</v>
      </c>
      <c r="R151" t="s">
        <v>8310</v>
      </c>
      <c r="S151" s="14">
        <f t="shared" si="14"/>
        <v>41968.172106481477</v>
      </c>
      <c r="T151" s="14">
        <f t="shared" si="15"/>
        <v>41998.333333333328</v>
      </c>
      <c r="U151" s="64">
        <f t="shared" si="16"/>
        <v>30.161226851851097</v>
      </c>
      <c r="V151" s="13" t="str">
        <f t="shared" si="17"/>
        <v>underfunded</v>
      </c>
    </row>
    <row r="152" spans="1:22" ht="48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8307</v>
      </c>
      <c r="R152" t="s">
        <v>8310</v>
      </c>
      <c r="S152" s="14">
        <f t="shared" si="14"/>
        <v>42090.161828703705</v>
      </c>
      <c r="T152" s="14">
        <f t="shared" si="15"/>
        <v>42150.161828703705</v>
      </c>
      <c r="U152" s="64">
        <f t="shared" si="16"/>
        <v>60</v>
      </c>
      <c r="V152" s="13" t="str">
        <f t="shared" si="17"/>
        <v>underfunded</v>
      </c>
    </row>
    <row r="153" spans="1:22" ht="48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8307</v>
      </c>
      <c r="R153" t="s">
        <v>8310</v>
      </c>
      <c r="S153" s="14">
        <f t="shared" si="14"/>
        <v>42113.550821759258</v>
      </c>
      <c r="T153" s="14">
        <f t="shared" si="15"/>
        <v>42173.550821759258</v>
      </c>
      <c r="U153" s="64">
        <f t="shared" si="16"/>
        <v>60</v>
      </c>
      <c r="V153" s="13" t="str">
        <f t="shared" si="17"/>
        <v>underfunded</v>
      </c>
    </row>
    <row r="154" spans="1:22" ht="3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8307</v>
      </c>
      <c r="R154" t="s">
        <v>8310</v>
      </c>
      <c r="S154" s="14">
        <f t="shared" si="14"/>
        <v>41875.077546296299</v>
      </c>
      <c r="T154" s="14">
        <f t="shared" si="15"/>
        <v>41905.077546296299</v>
      </c>
      <c r="U154" s="64">
        <f t="shared" si="16"/>
        <v>30</v>
      </c>
      <c r="V154" s="13" t="str">
        <f t="shared" si="17"/>
        <v>underfunded</v>
      </c>
    </row>
    <row r="155" spans="1:22" ht="48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8307</v>
      </c>
      <c r="R155" t="s">
        <v>8310</v>
      </c>
      <c r="S155" s="14">
        <f t="shared" si="14"/>
        <v>41933.586157407408</v>
      </c>
      <c r="T155" s="14">
        <f t="shared" si="15"/>
        <v>41975.627824074079</v>
      </c>
      <c r="U155" s="64">
        <f t="shared" si="16"/>
        <v>42.041666666671517</v>
      </c>
      <c r="V155" s="13" t="str">
        <f t="shared" si="17"/>
        <v>underfunded</v>
      </c>
    </row>
    <row r="156" spans="1:22" ht="3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8307</v>
      </c>
      <c r="R156" t="s">
        <v>8310</v>
      </c>
      <c r="S156" s="14">
        <f t="shared" si="14"/>
        <v>42115.547395833331</v>
      </c>
      <c r="T156" s="14">
        <f t="shared" si="15"/>
        <v>42158.547395833331</v>
      </c>
      <c r="U156" s="64">
        <f t="shared" si="16"/>
        <v>43</v>
      </c>
      <c r="V156" s="13" t="str">
        <f t="shared" si="17"/>
        <v>underfunded</v>
      </c>
    </row>
    <row r="157" spans="1:22" ht="6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8307</v>
      </c>
      <c r="R157" t="s">
        <v>8310</v>
      </c>
      <c r="S157" s="14">
        <f t="shared" si="14"/>
        <v>42168.559432870374</v>
      </c>
      <c r="T157" s="14">
        <f t="shared" si="15"/>
        <v>42208.559432870374</v>
      </c>
      <c r="U157" s="64">
        <f t="shared" si="16"/>
        <v>40</v>
      </c>
      <c r="V157" s="13" t="str">
        <f t="shared" si="17"/>
        <v>underfunded</v>
      </c>
    </row>
    <row r="158" spans="1:22" ht="48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8307</v>
      </c>
      <c r="R158" t="s">
        <v>8310</v>
      </c>
      <c r="S158" s="14">
        <f t="shared" si="14"/>
        <v>41794.124953703707</v>
      </c>
      <c r="T158" s="14">
        <f t="shared" si="15"/>
        <v>41854.124953703707</v>
      </c>
      <c r="U158" s="64">
        <f t="shared" si="16"/>
        <v>60</v>
      </c>
      <c r="V158" s="13" t="str">
        <f t="shared" si="17"/>
        <v>underfunded</v>
      </c>
    </row>
    <row r="159" spans="1:22" ht="48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8307</v>
      </c>
      <c r="R159" t="s">
        <v>8310</v>
      </c>
      <c r="S159" s="14">
        <f t="shared" si="14"/>
        <v>42396.911712962959</v>
      </c>
      <c r="T159" s="14">
        <f t="shared" si="15"/>
        <v>42426.911712962959</v>
      </c>
      <c r="U159" s="64">
        <f t="shared" si="16"/>
        <v>30</v>
      </c>
      <c r="V159" s="13" t="str">
        <f t="shared" si="17"/>
        <v>underfunded</v>
      </c>
    </row>
    <row r="160" spans="1:22" ht="48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0" t="s">
        <v>8307</v>
      </c>
      <c r="R160" t="s">
        <v>8310</v>
      </c>
      <c r="S160" s="14">
        <f t="shared" si="14"/>
        <v>41904.07671296296</v>
      </c>
      <c r="T160" s="14">
        <f t="shared" si="15"/>
        <v>41934.07671296296</v>
      </c>
      <c r="U160" s="64">
        <f t="shared" si="16"/>
        <v>30</v>
      </c>
      <c r="V160" s="13" t="str">
        <f t="shared" si="17"/>
        <v>underfunded</v>
      </c>
    </row>
    <row r="161" spans="1:22" ht="48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8307</v>
      </c>
      <c r="R161" t="s">
        <v>8310</v>
      </c>
      <c r="S161" s="14">
        <f t="shared" si="14"/>
        <v>42514.434548611112</v>
      </c>
      <c r="T161" s="14">
        <f t="shared" si="15"/>
        <v>42554.434548611112</v>
      </c>
      <c r="U161" s="64">
        <f t="shared" si="16"/>
        <v>40</v>
      </c>
      <c r="V161" s="13" t="str">
        <f t="shared" si="17"/>
        <v>underfunded</v>
      </c>
    </row>
    <row r="162" spans="1:22" ht="48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0" t="s">
        <v>8307</v>
      </c>
      <c r="R162" t="s">
        <v>8311</v>
      </c>
      <c r="S162" s="14">
        <f t="shared" si="14"/>
        <v>42171.913090277783</v>
      </c>
      <c r="T162" s="14">
        <f t="shared" si="15"/>
        <v>42231.913090277783</v>
      </c>
      <c r="U162" s="64">
        <f t="shared" si="16"/>
        <v>60</v>
      </c>
      <c r="V162" s="13" t="str">
        <f t="shared" si="17"/>
        <v>underfunded</v>
      </c>
    </row>
    <row r="163" spans="1:22" ht="48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8307</v>
      </c>
      <c r="R163" t="s">
        <v>8311</v>
      </c>
      <c r="S163" s="14">
        <f t="shared" si="14"/>
        <v>41792.687442129631</v>
      </c>
      <c r="T163" s="14">
        <f t="shared" si="15"/>
        <v>41822.687442129631</v>
      </c>
      <c r="U163" s="64">
        <f t="shared" si="16"/>
        <v>30</v>
      </c>
      <c r="V163" s="13" t="str">
        <f t="shared" si="17"/>
        <v>underfunded</v>
      </c>
    </row>
    <row r="164" spans="1:22" ht="48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8307</v>
      </c>
      <c r="R164" t="s">
        <v>8311</v>
      </c>
      <c r="S164" s="14">
        <f t="shared" si="14"/>
        <v>41835.126805555556</v>
      </c>
      <c r="T164" s="14">
        <f t="shared" si="15"/>
        <v>41867.987500000003</v>
      </c>
      <c r="U164" s="64">
        <f t="shared" si="16"/>
        <v>32.86069444444729</v>
      </c>
      <c r="V164" s="13" t="str">
        <f t="shared" si="17"/>
        <v>underfunded</v>
      </c>
    </row>
    <row r="165" spans="1:22" ht="6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0" t="s">
        <v>8307</v>
      </c>
      <c r="R165" t="s">
        <v>8311</v>
      </c>
      <c r="S165" s="14">
        <f t="shared" si="14"/>
        <v>42243.961273148147</v>
      </c>
      <c r="T165" s="14">
        <f t="shared" si="15"/>
        <v>42278</v>
      </c>
      <c r="U165" s="64">
        <f t="shared" si="16"/>
        <v>34.038726851853426</v>
      </c>
      <c r="V165" s="13" t="str">
        <f t="shared" si="17"/>
        <v>underfunded</v>
      </c>
    </row>
    <row r="166" spans="1:22" ht="48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8307</v>
      </c>
      <c r="R166" t="s">
        <v>8311</v>
      </c>
      <c r="S166" s="14">
        <f t="shared" si="14"/>
        <v>41841.762743055559</v>
      </c>
      <c r="T166" s="14">
        <f t="shared" si="15"/>
        <v>41901.762743055559</v>
      </c>
      <c r="U166" s="64">
        <f t="shared" si="16"/>
        <v>60</v>
      </c>
      <c r="V166" s="13" t="str">
        <f t="shared" si="17"/>
        <v>underfunded</v>
      </c>
    </row>
    <row r="167" spans="1:22" ht="3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0" t="s">
        <v>8307</v>
      </c>
      <c r="R167" t="s">
        <v>8311</v>
      </c>
      <c r="S167" s="14">
        <f t="shared" si="14"/>
        <v>42351.658842592587</v>
      </c>
      <c r="T167" s="14">
        <f t="shared" si="15"/>
        <v>42381.658842592587</v>
      </c>
      <c r="U167" s="64">
        <f t="shared" si="16"/>
        <v>30</v>
      </c>
      <c r="V167" s="13" t="str">
        <f t="shared" si="17"/>
        <v>underfunded</v>
      </c>
    </row>
    <row r="168" spans="1:22" ht="48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8307</v>
      </c>
      <c r="R168" t="s">
        <v>8311</v>
      </c>
      <c r="S168" s="14">
        <f t="shared" si="14"/>
        <v>42721.075949074075</v>
      </c>
      <c r="T168" s="14">
        <f t="shared" si="15"/>
        <v>42751.075949074075</v>
      </c>
      <c r="U168" s="64">
        <f t="shared" si="16"/>
        <v>30</v>
      </c>
      <c r="V168" s="13" t="str">
        <f t="shared" si="17"/>
        <v>underfunded</v>
      </c>
    </row>
    <row r="169" spans="1:22" ht="48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8307</v>
      </c>
      <c r="R169" t="s">
        <v>8311</v>
      </c>
      <c r="S169" s="14">
        <f t="shared" si="14"/>
        <v>42160.927488425921</v>
      </c>
      <c r="T169" s="14">
        <f t="shared" si="15"/>
        <v>42220.927488425921</v>
      </c>
      <c r="U169" s="64">
        <f t="shared" si="16"/>
        <v>60</v>
      </c>
      <c r="V169" s="13" t="str">
        <f t="shared" si="17"/>
        <v>underfunded</v>
      </c>
    </row>
    <row r="170" spans="1:22" ht="48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8307</v>
      </c>
      <c r="R170" t="s">
        <v>8311</v>
      </c>
      <c r="S170" s="14">
        <f t="shared" si="14"/>
        <v>42052.83530092593</v>
      </c>
      <c r="T170" s="14">
        <f t="shared" si="15"/>
        <v>42082.793634259258</v>
      </c>
      <c r="U170" s="64">
        <f t="shared" si="16"/>
        <v>29.958333333328483</v>
      </c>
      <c r="V170" s="13" t="str">
        <f t="shared" si="17"/>
        <v>underfunded</v>
      </c>
    </row>
    <row r="171" spans="1:22" ht="48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8307</v>
      </c>
      <c r="R171" t="s">
        <v>8311</v>
      </c>
      <c r="S171" s="14">
        <f t="shared" si="14"/>
        <v>41900.505312499998</v>
      </c>
      <c r="T171" s="14">
        <f t="shared" si="15"/>
        <v>41930.505312499998</v>
      </c>
      <c r="U171" s="64">
        <f t="shared" si="16"/>
        <v>30</v>
      </c>
      <c r="V171" s="13" t="str">
        <f t="shared" si="17"/>
        <v>underfunded</v>
      </c>
    </row>
    <row r="172" spans="1:22" ht="48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8307</v>
      </c>
      <c r="R172" t="s">
        <v>8311</v>
      </c>
      <c r="S172" s="14">
        <f t="shared" si="14"/>
        <v>42216.977812500001</v>
      </c>
      <c r="T172" s="14">
        <f t="shared" si="15"/>
        <v>42246.227777777778</v>
      </c>
      <c r="U172" s="64">
        <f t="shared" si="16"/>
        <v>29.249965277776937</v>
      </c>
      <c r="V172" s="13" t="str">
        <f t="shared" si="17"/>
        <v>underfunded</v>
      </c>
    </row>
    <row r="173" spans="1:22" ht="48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8307</v>
      </c>
      <c r="R173" t="s">
        <v>8311</v>
      </c>
      <c r="S173" s="14">
        <f t="shared" si="14"/>
        <v>42534.180717592593</v>
      </c>
      <c r="T173" s="14">
        <f t="shared" si="15"/>
        <v>42594.180717592593</v>
      </c>
      <c r="U173" s="64">
        <f t="shared" si="16"/>
        <v>60</v>
      </c>
      <c r="V173" s="13" t="str">
        <f t="shared" si="17"/>
        <v>underfunded</v>
      </c>
    </row>
    <row r="174" spans="1:22" ht="48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0" t="s">
        <v>8307</v>
      </c>
      <c r="R174" t="s">
        <v>8311</v>
      </c>
      <c r="S174" s="14">
        <f t="shared" si="14"/>
        <v>42047.394942129627</v>
      </c>
      <c r="T174" s="14">
        <f t="shared" si="15"/>
        <v>42082.353275462956</v>
      </c>
      <c r="U174" s="64">
        <f t="shared" si="16"/>
        <v>34.958333333328483</v>
      </c>
      <c r="V174" s="13" t="str">
        <f t="shared" si="17"/>
        <v>underfunded</v>
      </c>
    </row>
    <row r="175" spans="1:22" ht="48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0" t="s">
        <v>8307</v>
      </c>
      <c r="R175" t="s">
        <v>8311</v>
      </c>
      <c r="S175" s="14">
        <f t="shared" si="14"/>
        <v>42033.573009259257</v>
      </c>
      <c r="T175" s="14">
        <f t="shared" si="15"/>
        <v>42063.573009259257</v>
      </c>
      <c r="U175" s="64">
        <f t="shared" si="16"/>
        <v>30</v>
      </c>
      <c r="V175" s="13" t="str">
        <f t="shared" si="17"/>
        <v>underfunded</v>
      </c>
    </row>
    <row r="176" spans="1:22" ht="48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0" t="s">
        <v>8307</v>
      </c>
      <c r="R176" t="s">
        <v>8311</v>
      </c>
      <c r="S176" s="14">
        <f t="shared" si="14"/>
        <v>42072.758981481486</v>
      </c>
      <c r="T176" s="14">
        <f t="shared" si="15"/>
        <v>42132.758981481486</v>
      </c>
      <c r="U176" s="64">
        <f t="shared" si="16"/>
        <v>60</v>
      </c>
      <c r="V176" s="13" t="str">
        <f t="shared" si="17"/>
        <v>underfunded</v>
      </c>
    </row>
    <row r="177" spans="1:22" ht="48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8307</v>
      </c>
      <c r="R177" t="s">
        <v>8311</v>
      </c>
      <c r="S177" s="14">
        <f t="shared" si="14"/>
        <v>41855.777905092589</v>
      </c>
      <c r="T177" s="14">
        <f t="shared" si="15"/>
        <v>41880.777905092589</v>
      </c>
      <c r="U177" s="64">
        <f t="shared" si="16"/>
        <v>25</v>
      </c>
      <c r="V177" s="13" t="str">
        <f t="shared" si="17"/>
        <v>underfunded</v>
      </c>
    </row>
    <row r="178" spans="1:22" ht="48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0" t="s">
        <v>8307</v>
      </c>
      <c r="R178" t="s">
        <v>8311</v>
      </c>
      <c r="S178" s="14">
        <f t="shared" si="14"/>
        <v>42191.824062500003</v>
      </c>
      <c r="T178" s="14">
        <f t="shared" si="15"/>
        <v>42221.824062500003</v>
      </c>
      <c r="U178" s="64">
        <f t="shared" si="16"/>
        <v>30</v>
      </c>
      <c r="V178" s="13" t="str">
        <f t="shared" si="17"/>
        <v>underfunded</v>
      </c>
    </row>
    <row r="179" spans="1:22" ht="3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8307</v>
      </c>
      <c r="R179" t="s">
        <v>8311</v>
      </c>
      <c r="S179" s="14">
        <f t="shared" si="14"/>
        <v>42070.047754629632</v>
      </c>
      <c r="T179" s="14">
        <f t="shared" si="15"/>
        <v>42087.00608796296</v>
      </c>
      <c r="U179" s="64">
        <f t="shared" si="16"/>
        <v>16.958333333328483</v>
      </c>
      <c r="V179" s="13" t="str">
        <f t="shared" si="17"/>
        <v>underfunded</v>
      </c>
    </row>
    <row r="180" spans="1:22" ht="3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0" t="s">
        <v>8307</v>
      </c>
      <c r="R180" t="s">
        <v>8311</v>
      </c>
      <c r="S180" s="14">
        <f t="shared" si="14"/>
        <v>42304.955381944441</v>
      </c>
      <c r="T180" s="14">
        <f t="shared" si="15"/>
        <v>42334.997048611112</v>
      </c>
      <c r="U180" s="64">
        <f t="shared" si="16"/>
        <v>30.041666666671517</v>
      </c>
      <c r="V180" s="13" t="str">
        <f t="shared" si="17"/>
        <v>underfunded</v>
      </c>
    </row>
    <row r="181" spans="1:22" ht="3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8307</v>
      </c>
      <c r="R181" t="s">
        <v>8311</v>
      </c>
      <c r="S181" s="14">
        <f t="shared" si="14"/>
        <v>42403.080497685187</v>
      </c>
      <c r="T181" s="14">
        <f t="shared" si="15"/>
        <v>42433.080497685187</v>
      </c>
      <c r="U181" s="64">
        <f t="shared" si="16"/>
        <v>30</v>
      </c>
      <c r="V181" s="13" t="str">
        <f t="shared" si="17"/>
        <v>underfunded</v>
      </c>
    </row>
    <row r="182" spans="1:22" ht="48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8307</v>
      </c>
      <c r="R182" t="s">
        <v>8311</v>
      </c>
      <c r="S182" s="14">
        <f t="shared" si="14"/>
        <v>42067.991238425922</v>
      </c>
      <c r="T182" s="14">
        <f t="shared" si="15"/>
        <v>42107.791666666672</v>
      </c>
      <c r="U182" s="64">
        <f t="shared" si="16"/>
        <v>39.80042824074917</v>
      </c>
      <c r="V182" s="13" t="str">
        <f t="shared" si="17"/>
        <v>underfunded</v>
      </c>
    </row>
    <row r="183" spans="1:22" ht="48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8307</v>
      </c>
      <c r="R183" t="s">
        <v>8311</v>
      </c>
      <c r="S183" s="14">
        <f t="shared" si="14"/>
        <v>42147.741840277777</v>
      </c>
      <c r="T183" s="14">
        <f t="shared" si="15"/>
        <v>42177.741840277777</v>
      </c>
      <c r="U183" s="64">
        <f t="shared" si="16"/>
        <v>30</v>
      </c>
      <c r="V183" s="13" t="str">
        <f t="shared" si="17"/>
        <v>underfunded</v>
      </c>
    </row>
    <row r="184" spans="1:22" ht="48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0" t="s">
        <v>8307</v>
      </c>
      <c r="R184" t="s">
        <v>8311</v>
      </c>
      <c r="S184" s="14">
        <f t="shared" si="14"/>
        <v>42712.011944444443</v>
      </c>
      <c r="T184" s="14">
        <f t="shared" si="15"/>
        <v>42742.011944444443</v>
      </c>
      <c r="U184" s="64">
        <f t="shared" si="16"/>
        <v>30</v>
      </c>
      <c r="V184" s="13" t="str">
        <f t="shared" si="17"/>
        <v>underfunded</v>
      </c>
    </row>
    <row r="185" spans="1:22" ht="16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8307</v>
      </c>
      <c r="R185" t="s">
        <v>8311</v>
      </c>
      <c r="S185" s="14">
        <f t="shared" si="14"/>
        <v>41939.810300925928</v>
      </c>
      <c r="T185" s="14">
        <f t="shared" si="15"/>
        <v>41969.851967592593</v>
      </c>
      <c r="U185" s="64">
        <f t="shared" si="16"/>
        <v>30.041666666664241</v>
      </c>
      <c r="V185" s="13" t="str">
        <f t="shared" si="17"/>
        <v>underfunded</v>
      </c>
    </row>
    <row r="186" spans="1:22" ht="48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8307</v>
      </c>
      <c r="R186" t="s">
        <v>8311</v>
      </c>
      <c r="S186" s="14">
        <f t="shared" si="14"/>
        <v>41825.791226851856</v>
      </c>
      <c r="T186" s="14">
        <f t="shared" si="15"/>
        <v>41883.165972222225</v>
      </c>
      <c r="U186" s="64">
        <f t="shared" si="16"/>
        <v>57.374745370369055</v>
      </c>
      <c r="V186" s="13" t="str">
        <f t="shared" si="17"/>
        <v>underfunded</v>
      </c>
    </row>
    <row r="187" spans="1:22" ht="16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8307</v>
      </c>
      <c r="R187" t="s">
        <v>8311</v>
      </c>
      <c r="S187" s="14">
        <f t="shared" si="14"/>
        <v>42570.91133101852</v>
      </c>
      <c r="T187" s="14">
        <f t="shared" si="15"/>
        <v>42600.91133101852</v>
      </c>
      <c r="U187" s="64">
        <f t="shared" si="16"/>
        <v>30</v>
      </c>
      <c r="V187" s="13" t="str">
        <f t="shared" si="17"/>
        <v>underfunded</v>
      </c>
    </row>
    <row r="188" spans="1:22" ht="48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8307</v>
      </c>
      <c r="R188" t="s">
        <v>8311</v>
      </c>
      <c r="S188" s="14">
        <f t="shared" si="14"/>
        <v>42767.812893518523</v>
      </c>
      <c r="T188" s="14">
        <f t="shared" si="15"/>
        <v>42797.833333333328</v>
      </c>
      <c r="U188" s="64">
        <f t="shared" si="16"/>
        <v>30.020439814805286</v>
      </c>
      <c r="V188" s="13" t="str">
        <f t="shared" si="17"/>
        <v>underfunded</v>
      </c>
    </row>
    <row r="189" spans="1:22" ht="3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8307</v>
      </c>
      <c r="R189" t="s">
        <v>8311</v>
      </c>
      <c r="S189" s="14">
        <f t="shared" si="14"/>
        <v>42182.234456018516</v>
      </c>
      <c r="T189" s="14">
        <f t="shared" si="15"/>
        <v>42206.290972222225</v>
      </c>
      <c r="U189" s="64">
        <f t="shared" si="16"/>
        <v>24.05651620370918</v>
      </c>
      <c r="V189" s="13" t="str">
        <f t="shared" si="17"/>
        <v>underfunded</v>
      </c>
    </row>
    <row r="190" spans="1:22" ht="48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8307</v>
      </c>
      <c r="R190" t="s">
        <v>8311</v>
      </c>
      <c r="S190" s="14">
        <f t="shared" si="14"/>
        <v>41857.18304398148</v>
      </c>
      <c r="T190" s="14">
        <f t="shared" si="15"/>
        <v>41887.18304398148</v>
      </c>
      <c r="U190" s="64">
        <f t="shared" si="16"/>
        <v>30</v>
      </c>
      <c r="V190" s="13" t="str">
        <f t="shared" si="17"/>
        <v>underfunded</v>
      </c>
    </row>
    <row r="191" spans="1:22" ht="48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8307</v>
      </c>
      <c r="R191" t="s">
        <v>8311</v>
      </c>
      <c r="S191" s="14">
        <f t="shared" si="14"/>
        <v>42556.690706018519</v>
      </c>
      <c r="T191" s="14">
        <f t="shared" si="15"/>
        <v>42616.690706018519</v>
      </c>
      <c r="U191" s="64">
        <f t="shared" si="16"/>
        <v>60</v>
      </c>
      <c r="V191" s="13" t="str">
        <f t="shared" si="17"/>
        <v>underfunded</v>
      </c>
    </row>
    <row r="192" spans="1:22" ht="16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8307</v>
      </c>
      <c r="R192" t="s">
        <v>8311</v>
      </c>
      <c r="S192" s="14">
        <f t="shared" si="14"/>
        <v>42527.650995370372</v>
      </c>
      <c r="T192" s="14">
        <f t="shared" si="15"/>
        <v>42537.650995370372</v>
      </c>
      <c r="U192" s="64">
        <f t="shared" si="16"/>
        <v>10</v>
      </c>
      <c r="V192" s="13" t="str">
        <f t="shared" si="17"/>
        <v>underfunded</v>
      </c>
    </row>
    <row r="193" spans="1:22" ht="48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8307</v>
      </c>
      <c r="R193" t="s">
        <v>8311</v>
      </c>
      <c r="S193" s="14">
        <f t="shared" si="14"/>
        <v>42239.441412037035</v>
      </c>
      <c r="T193" s="14">
        <f t="shared" si="15"/>
        <v>42279.441412037035</v>
      </c>
      <c r="U193" s="64">
        <f t="shared" si="16"/>
        <v>40</v>
      </c>
      <c r="V193" s="13" t="str">
        <f t="shared" si="17"/>
        <v>underfunded</v>
      </c>
    </row>
    <row r="194" spans="1:22" ht="48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3"/>
        <v>5.67</v>
      </c>
      <c r="Q194" s="10" t="s">
        <v>8307</v>
      </c>
      <c r="R194" t="s">
        <v>8311</v>
      </c>
      <c r="S194" s="14">
        <f t="shared" si="14"/>
        <v>41899.792037037041</v>
      </c>
      <c r="T194" s="14">
        <f t="shared" si="15"/>
        <v>41929.792037037041</v>
      </c>
      <c r="U194" s="64">
        <f t="shared" si="16"/>
        <v>30</v>
      </c>
      <c r="V194" s="13" t="str">
        <f t="shared" si="17"/>
        <v>underfunded</v>
      </c>
    </row>
    <row r="195" spans="1:22" ht="48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ROUND(E195/D195*100,0)</f>
        <v>0</v>
      </c>
      <c r="P195">
        <f t="shared" ref="P195:P258" si="19">IFERROR(ROUND(E195/L195,2), 0)</f>
        <v>0</v>
      </c>
      <c r="Q195" s="10" t="s">
        <v>8307</v>
      </c>
      <c r="R195" t="s">
        <v>8311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 s="64">
        <f t="shared" ref="U195:V258" si="22">T195-S195</f>
        <v>60.041666666664241</v>
      </c>
      <c r="V195" s="13" t="str">
        <f t="shared" ref="V195:V258" si="23">IF(E195&gt;=D195, "funded", "underfunded")</f>
        <v>underfunded</v>
      </c>
    </row>
    <row r="196" spans="1:22" ht="48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8307</v>
      </c>
      <c r="R196" t="s">
        <v>8311</v>
      </c>
      <c r="S196" s="14">
        <f t="shared" si="20"/>
        <v>42375.996886574074</v>
      </c>
      <c r="T196" s="14">
        <f t="shared" si="21"/>
        <v>42435.996886574074</v>
      </c>
      <c r="U196" s="64">
        <f t="shared" si="22"/>
        <v>60</v>
      </c>
      <c r="V196" s="13" t="str">
        <f t="shared" si="23"/>
        <v>underfunded</v>
      </c>
    </row>
    <row r="197" spans="1:22" ht="48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8307</v>
      </c>
      <c r="R197" t="s">
        <v>8311</v>
      </c>
      <c r="S197" s="14">
        <f t="shared" si="20"/>
        <v>42135.67050925926</v>
      </c>
      <c r="T197" s="14">
        <f t="shared" si="21"/>
        <v>42195.67050925926</v>
      </c>
      <c r="U197" s="64">
        <f t="shared" si="22"/>
        <v>60</v>
      </c>
      <c r="V197" s="13" t="str">
        <f t="shared" si="23"/>
        <v>underfunded</v>
      </c>
    </row>
    <row r="198" spans="1:22" ht="48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8307</v>
      </c>
      <c r="R198" t="s">
        <v>8311</v>
      </c>
      <c r="S198" s="14">
        <f t="shared" si="20"/>
        <v>42259.542800925927</v>
      </c>
      <c r="T198" s="14">
        <f t="shared" si="21"/>
        <v>42287.875</v>
      </c>
      <c r="U198" s="64">
        <f t="shared" si="22"/>
        <v>28.332199074073287</v>
      </c>
      <c r="V198" s="13" t="str">
        <f t="shared" si="23"/>
        <v>underfunded</v>
      </c>
    </row>
    <row r="199" spans="1:22" ht="48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8307</v>
      </c>
      <c r="R199" t="s">
        <v>8311</v>
      </c>
      <c r="S199" s="14">
        <f t="shared" si="20"/>
        <v>42741.848379629635</v>
      </c>
      <c r="T199" s="14">
        <f t="shared" si="21"/>
        <v>42783.875</v>
      </c>
      <c r="U199" s="64">
        <f t="shared" si="22"/>
        <v>42.026620370364981</v>
      </c>
      <c r="V199" s="13" t="str">
        <f t="shared" si="23"/>
        <v>underfunded</v>
      </c>
    </row>
    <row r="200" spans="1:22" ht="48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8307</v>
      </c>
      <c r="R200" t="s">
        <v>8311</v>
      </c>
      <c r="S200" s="14">
        <f t="shared" si="20"/>
        <v>41887.383356481485</v>
      </c>
      <c r="T200" s="14">
        <f t="shared" si="21"/>
        <v>41917.383356481485</v>
      </c>
      <c r="U200" s="64">
        <f t="shared" si="22"/>
        <v>30</v>
      </c>
      <c r="V200" s="13" t="str">
        <f t="shared" si="23"/>
        <v>underfunded</v>
      </c>
    </row>
    <row r="201" spans="1:22" ht="48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8307</v>
      </c>
      <c r="R201" t="s">
        <v>8311</v>
      </c>
      <c r="S201" s="14">
        <f t="shared" si="20"/>
        <v>42584.123865740738</v>
      </c>
      <c r="T201" s="14">
        <f t="shared" si="21"/>
        <v>42614.123865740738</v>
      </c>
      <c r="U201" s="64">
        <f t="shared" si="22"/>
        <v>30</v>
      </c>
      <c r="V201" s="13" t="str">
        <f t="shared" si="23"/>
        <v>underfunded</v>
      </c>
    </row>
    <row r="202" spans="1:22" ht="3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8307</v>
      </c>
      <c r="R202" t="s">
        <v>8311</v>
      </c>
      <c r="S202" s="14">
        <f t="shared" si="20"/>
        <v>41867.083368055559</v>
      </c>
      <c r="T202" s="14">
        <f t="shared" si="21"/>
        <v>41897.083368055559</v>
      </c>
      <c r="U202" s="64">
        <f t="shared" si="22"/>
        <v>30</v>
      </c>
      <c r="V202" s="13" t="str">
        <f t="shared" si="23"/>
        <v>underfunded</v>
      </c>
    </row>
    <row r="203" spans="1:22" ht="48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8307</v>
      </c>
      <c r="R203" t="s">
        <v>8311</v>
      </c>
      <c r="S203" s="14">
        <f t="shared" si="20"/>
        <v>42023.818622685183</v>
      </c>
      <c r="T203" s="14">
        <f t="shared" si="21"/>
        <v>42043.818622685183</v>
      </c>
      <c r="U203" s="64">
        <f t="shared" si="22"/>
        <v>20</v>
      </c>
      <c r="V203" s="13" t="str">
        <f t="shared" si="23"/>
        <v>underfunded</v>
      </c>
    </row>
    <row r="204" spans="1:22" ht="16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8307</v>
      </c>
      <c r="R204" t="s">
        <v>8311</v>
      </c>
      <c r="S204" s="14">
        <f t="shared" si="20"/>
        <v>42255.927824074075</v>
      </c>
      <c r="T204" s="14">
        <f t="shared" si="21"/>
        <v>42285.874305555553</v>
      </c>
      <c r="U204" s="64">
        <f t="shared" si="22"/>
        <v>29.946481481478259</v>
      </c>
      <c r="V204" s="13" t="str">
        <f t="shared" si="23"/>
        <v>underfunded</v>
      </c>
    </row>
    <row r="205" spans="1:22" ht="48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8307</v>
      </c>
      <c r="R205" t="s">
        <v>8311</v>
      </c>
      <c r="S205" s="14">
        <f t="shared" si="20"/>
        <v>41973.847962962958</v>
      </c>
      <c r="T205" s="14">
        <f t="shared" si="21"/>
        <v>42033.847962962958</v>
      </c>
      <c r="U205" s="64">
        <f t="shared" si="22"/>
        <v>60</v>
      </c>
      <c r="V205" s="13" t="str">
        <f t="shared" si="23"/>
        <v>underfunded</v>
      </c>
    </row>
    <row r="206" spans="1:22" ht="48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8307</v>
      </c>
      <c r="R206" t="s">
        <v>8311</v>
      </c>
      <c r="S206" s="14">
        <f t="shared" si="20"/>
        <v>42556.583368055552</v>
      </c>
      <c r="T206" s="14">
        <f t="shared" si="21"/>
        <v>42586.583368055552</v>
      </c>
      <c r="U206" s="64">
        <f t="shared" si="22"/>
        <v>30</v>
      </c>
      <c r="V206" s="13" t="str">
        <f t="shared" si="23"/>
        <v>underfunded</v>
      </c>
    </row>
    <row r="207" spans="1:22" ht="48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8307</v>
      </c>
      <c r="R207" t="s">
        <v>8311</v>
      </c>
      <c r="S207" s="14">
        <f t="shared" si="20"/>
        <v>42248.632199074069</v>
      </c>
      <c r="T207" s="14">
        <f t="shared" si="21"/>
        <v>42283.632199074069</v>
      </c>
      <c r="U207" s="64">
        <f t="shared" si="22"/>
        <v>35</v>
      </c>
      <c r="V207" s="13" t="str">
        <f t="shared" si="23"/>
        <v>underfunded</v>
      </c>
    </row>
    <row r="208" spans="1:22" ht="48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8307</v>
      </c>
      <c r="R208" t="s">
        <v>8311</v>
      </c>
      <c r="S208" s="14">
        <f t="shared" si="20"/>
        <v>42567.004432870366</v>
      </c>
      <c r="T208" s="14">
        <f t="shared" si="21"/>
        <v>42588.004432870366</v>
      </c>
      <c r="U208" s="64">
        <f t="shared" si="22"/>
        <v>21</v>
      </c>
      <c r="V208" s="13" t="str">
        <f t="shared" si="23"/>
        <v>underfunded</v>
      </c>
    </row>
    <row r="209" spans="1:22" ht="48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8307</v>
      </c>
      <c r="R209" t="s">
        <v>8311</v>
      </c>
      <c r="S209" s="14">
        <f t="shared" si="20"/>
        <v>41978.197199074071</v>
      </c>
      <c r="T209" s="14">
        <f t="shared" si="21"/>
        <v>42008.197199074071</v>
      </c>
      <c r="U209" s="64">
        <f t="shared" si="22"/>
        <v>30</v>
      </c>
      <c r="V209" s="13" t="str">
        <f t="shared" si="23"/>
        <v>underfunded</v>
      </c>
    </row>
    <row r="210" spans="1:22" ht="48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8307</v>
      </c>
      <c r="R210" t="s">
        <v>8311</v>
      </c>
      <c r="S210" s="14">
        <f t="shared" si="20"/>
        <v>41959.369988425926</v>
      </c>
      <c r="T210" s="14">
        <f t="shared" si="21"/>
        <v>41989.369988425926</v>
      </c>
      <c r="U210" s="64">
        <f t="shared" si="22"/>
        <v>30</v>
      </c>
      <c r="V210" s="13" t="str">
        <f t="shared" si="23"/>
        <v>underfunded</v>
      </c>
    </row>
    <row r="211" spans="1:22" ht="48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8307</v>
      </c>
      <c r="R211" t="s">
        <v>8311</v>
      </c>
      <c r="S211" s="14">
        <f t="shared" si="20"/>
        <v>42165.922858796301</v>
      </c>
      <c r="T211" s="14">
        <f t="shared" si="21"/>
        <v>42195.922858796301</v>
      </c>
      <c r="U211" s="64">
        <f t="shared" si="22"/>
        <v>30</v>
      </c>
      <c r="V211" s="13" t="str">
        <f t="shared" si="23"/>
        <v>underfunded</v>
      </c>
    </row>
    <row r="212" spans="1:22" ht="48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8307</v>
      </c>
      <c r="R212" t="s">
        <v>8311</v>
      </c>
      <c r="S212" s="14">
        <f t="shared" si="20"/>
        <v>42249.064722222218</v>
      </c>
      <c r="T212" s="14">
        <f t="shared" si="21"/>
        <v>42278.208333333328</v>
      </c>
      <c r="U212" s="64">
        <f t="shared" si="22"/>
        <v>29.143611111110658</v>
      </c>
      <c r="V212" s="13" t="str">
        <f t="shared" si="23"/>
        <v>underfunded</v>
      </c>
    </row>
    <row r="213" spans="1:22" ht="48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8307</v>
      </c>
      <c r="R213" t="s">
        <v>8311</v>
      </c>
      <c r="S213" s="14">
        <f t="shared" si="20"/>
        <v>42236.159918981488</v>
      </c>
      <c r="T213" s="14">
        <f t="shared" si="21"/>
        <v>42266.159918981488</v>
      </c>
      <c r="U213" s="64">
        <f t="shared" si="22"/>
        <v>30</v>
      </c>
      <c r="V213" s="13" t="str">
        <f t="shared" si="23"/>
        <v>underfunded</v>
      </c>
    </row>
    <row r="214" spans="1:22" ht="3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8307</v>
      </c>
      <c r="R214" t="s">
        <v>8311</v>
      </c>
      <c r="S214" s="14">
        <f t="shared" si="20"/>
        <v>42416.881018518514</v>
      </c>
      <c r="T214" s="14">
        <f t="shared" si="21"/>
        <v>42476.839351851857</v>
      </c>
      <c r="U214" s="64">
        <f t="shared" si="22"/>
        <v>59.958333333343035</v>
      </c>
      <c r="V214" s="13" t="str">
        <f t="shared" si="23"/>
        <v>underfunded</v>
      </c>
    </row>
    <row r="215" spans="1:22" ht="48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8307</v>
      </c>
      <c r="R215" t="s">
        <v>8311</v>
      </c>
      <c r="S215" s="14">
        <f t="shared" si="20"/>
        <v>42202.594293981485</v>
      </c>
      <c r="T215" s="14">
        <f t="shared" si="21"/>
        <v>42232.587974537033</v>
      </c>
      <c r="U215" s="64">
        <f t="shared" si="22"/>
        <v>29.993680555548053</v>
      </c>
      <c r="V215" s="13" t="str">
        <f t="shared" si="23"/>
        <v>underfunded</v>
      </c>
    </row>
    <row r="216" spans="1:22" ht="48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8307</v>
      </c>
      <c r="R216" t="s">
        <v>8311</v>
      </c>
      <c r="S216" s="14">
        <f t="shared" si="20"/>
        <v>42009.64061342593</v>
      </c>
      <c r="T216" s="14">
        <f t="shared" si="21"/>
        <v>42069.64061342593</v>
      </c>
      <c r="U216" s="64">
        <f t="shared" si="22"/>
        <v>60</v>
      </c>
      <c r="V216" s="13" t="str">
        <f t="shared" si="23"/>
        <v>underfunded</v>
      </c>
    </row>
    <row r="217" spans="1:22" ht="48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8307</v>
      </c>
      <c r="R217" t="s">
        <v>8311</v>
      </c>
      <c r="S217" s="14">
        <f t="shared" si="20"/>
        <v>42375.230115740742</v>
      </c>
      <c r="T217" s="14">
        <f t="shared" si="21"/>
        <v>42417.999305555553</v>
      </c>
      <c r="U217" s="64">
        <f t="shared" si="22"/>
        <v>42.769189814811398</v>
      </c>
      <c r="V217" s="13" t="str">
        <f t="shared" si="23"/>
        <v>underfunded</v>
      </c>
    </row>
    <row r="218" spans="1:22" ht="48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8307</v>
      </c>
      <c r="R218" t="s">
        <v>8311</v>
      </c>
      <c r="S218" s="14">
        <f t="shared" si="20"/>
        <v>42066.958761574075</v>
      </c>
      <c r="T218" s="14">
        <f t="shared" si="21"/>
        <v>42116.917094907403</v>
      </c>
      <c r="U218" s="64">
        <f t="shared" si="22"/>
        <v>49.958333333328483</v>
      </c>
      <c r="V218" s="13" t="str">
        <f t="shared" si="23"/>
        <v>underfunded</v>
      </c>
    </row>
    <row r="219" spans="1:22" ht="16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8307</v>
      </c>
      <c r="R219" t="s">
        <v>8311</v>
      </c>
      <c r="S219" s="14">
        <f t="shared" si="20"/>
        <v>41970.64061342593</v>
      </c>
      <c r="T219" s="14">
        <f t="shared" si="21"/>
        <v>42001.64061342593</v>
      </c>
      <c r="U219" s="64">
        <f t="shared" si="22"/>
        <v>31</v>
      </c>
      <c r="V219" s="13" t="str">
        <f t="shared" si="23"/>
        <v>underfunded</v>
      </c>
    </row>
    <row r="220" spans="1:22" ht="48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8307</v>
      </c>
      <c r="R220" t="s">
        <v>8311</v>
      </c>
      <c r="S220" s="14">
        <f t="shared" si="20"/>
        <v>42079.628344907411</v>
      </c>
      <c r="T220" s="14">
        <f t="shared" si="21"/>
        <v>42139.628344907411</v>
      </c>
      <c r="U220" s="64">
        <f t="shared" si="22"/>
        <v>60</v>
      </c>
      <c r="V220" s="13" t="str">
        <f t="shared" si="23"/>
        <v>underfunded</v>
      </c>
    </row>
    <row r="221" spans="1:22" ht="3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8307</v>
      </c>
      <c r="R221" t="s">
        <v>8311</v>
      </c>
      <c r="S221" s="14">
        <f t="shared" si="20"/>
        <v>42429.326678240745</v>
      </c>
      <c r="T221" s="14">
        <f t="shared" si="21"/>
        <v>42461.290972222225</v>
      </c>
      <c r="U221" s="64">
        <f t="shared" si="22"/>
        <v>31.964293981480296</v>
      </c>
      <c r="V221" s="13" t="str">
        <f t="shared" si="23"/>
        <v>underfunded</v>
      </c>
    </row>
    <row r="222" spans="1:22" ht="48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8307</v>
      </c>
      <c r="R222" t="s">
        <v>8311</v>
      </c>
      <c r="S222" s="14">
        <f t="shared" si="20"/>
        <v>42195.643865740742</v>
      </c>
      <c r="T222" s="14">
        <f t="shared" si="21"/>
        <v>42236.837499999994</v>
      </c>
      <c r="U222" s="64">
        <f t="shared" si="22"/>
        <v>41.193634259252576</v>
      </c>
      <c r="V222" s="13" t="str">
        <f t="shared" si="23"/>
        <v>underfunded</v>
      </c>
    </row>
    <row r="223" spans="1:22" ht="16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8307</v>
      </c>
      <c r="R223" t="s">
        <v>8311</v>
      </c>
      <c r="S223" s="14">
        <f t="shared" si="20"/>
        <v>42031.837546296301</v>
      </c>
      <c r="T223" s="14">
        <f t="shared" si="21"/>
        <v>42091.79587962963</v>
      </c>
      <c r="U223" s="64">
        <f t="shared" si="22"/>
        <v>59.958333333328483</v>
      </c>
      <c r="V223" s="13" t="str">
        <f t="shared" si="23"/>
        <v>underfunded</v>
      </c>
    </row>
    <row r="224" spans="1:22" ht="48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8307</v>
      </c>
      <c r="R224" t="s">
        <v>8311</v>
      </c>
      <c r="S224" s="14">
        <f t="shared" si="20"/>
        <v>42031.769884259258</v>
      </c>
      <c r="T224" s="14">
        <f t="shared" si="21"/>
        <v>42090.110416666663</v>
      </c>
      <c r="U224" s="64">
        <f t="shared" si="22"/>
        <v>58.34053240740468</v>
      </c>
      <c r="V224" s="13" t="str">
        <f t="shared" si="23"/>
        <v>underfunded</v>
      </c>
    </row>
    <row r="225" spans="1:22" ht="48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8307</v>
      </c>
      <c r="R225" t="s">
        <v>8311</v>
      </c>
      <c r="S225" s="14">
        <f t="shared" si="20"/>
        <v>42482.048032407409</v>
      </c>
      <c r="T225" s="14">
        <f t="shared" si="21"/>
        <v>42512.045138888891</v>
      </c>
      <c r="U225" s="64">
        <f t="shared" si="22"/>
        <v>29.997106481481751</v>
      </c>
      <c r="V225" s="13" t="str">
        <f t="shared" si="23"/>
        <v>underfunded</v>
      </c>
    </row>
    <row r="226" spans="1:22" ht="48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8307</v>
      </c>
      <c r="R226" t="s">
        <v>8311</v>
      </c>
      <c r="S226" s="14">
        <f t="shared" si="20"/>
        <v>42135.235254629632</v>
      </c>
      <c r="T226" s="14">
        <f t="shared" si="21"/>
        <v>42195.235254629632</v>
      </c>
      <c r="U226" s="64">
        <f t="shared" si="22"/>
        <v>60</v>
      </c>
      <c r="V226" s="13" t="str">
        <f t="shared" si="23"/>
        <v>underfunded</v>
      </c>
    </row>
    <row r="227" spans="1:22" ht="48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8307</v>
      </c>
      <c r="R227" t="s">
        <v>8311</v>
      </c>
      <c r="S227" s="14">
        <f t="shared" si="20"/>
        <v>42438.961273148147</v>
      </c>
      <c r="T227" s="14">
        <f t="shared" si="21"/>
        <v>42468.919606481482</v>
      </c>
      <c r="U227" s="64">
        <f t="shared" si="22"/>
        <v>29.958333333335759</v>
      </c>
      <c r="V227" s="13" t="str">
        <f t="shared" si="23"/>
        <v>underfunded</v>
      </c>
    </row>
    <row r="228" spans="1:22" ht="3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8307</v>
      </c>
      <c r="R228" t="s">
        <v>8311</v>
      </c>
      <c r="S228" s="14">
        <f t="shared" si="20"/>
        <v>42106.666018518517</v>
      </c>
      <c r="T228" s="14">
        <f t="shared" si="21"/>
        <v>42155.395138888889</v>
      </c>
      <c r="U228" s="64">
        <f t="shared" si="22"/>
        <v>48.729120370371675</v>
      </c>
      <c r="V228" s="13" t="str">
        <f t="shared" si="23"/>
        <v>underfunded</v>
      </c>
    </row>
    <row r="229" spans="1:22" ht="48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8307</v>
      </c>
      <c r="R229" t="s">
        <v>8311</v>
      </c>
      <c r="S229" s="14">
        <f t="shared" si="20"/>
        <v>42164.893993055557</v>
      </c>
      <c r="T229" s="14">
        <f t="shared" si="21"/>
        <v>42194.893993055557</v>
      </c>
      <c r="U229" s="64">
        <f t="shared" si="22"/>
        <v>30</v>
      </c>
      <c r="V229" s="13" t="str">
        <f t="shared" si="23"/>
        <v>underfunded</v>
      </c>
    </row>
    <row r="230" spans="1:22" ht="3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8307</v>
      </c>
      <c r="R230" t="s">
        <v>8311</v>
      </c>
      <c r="S230" s="14">
        <f t="shared" si="20"/>
        <v>42096.686400462961</v>
      </c>
      <c r="T230" s="14">
        <f t="shared" si="21"/>
        <v>42156.686400462961</v>
      </c>
      <c r="U230" s="64">
        <f t="shared" si="22"/>
        <v>60</v>
      </c>
      <c r="V230" s="13" t="str">
        <f t="shared" si="23"/>
        <v>underfunded</v>
      </c>
    </row>
    <row r="231" spans="1:22" ht="48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8307</v>
      </c>
      <c r="R231" t="s">
        <v>8311</v>
      </c>
      <c r="S231" s="14">
        <f t="shared" si="20"/>
        <v>42383.933993055558</v>
      </c>
      <c r="T231" s="14">
        <f t="shared" si="21"/>
        <v>42413.933993055558</v>
      </c>
      <c r="U231" s="64">
        <f t="shared" si="22"/>
        <v>30</v>
      </c>
      <c r="V231" s="13" t="str">
        <f t="shared" si="23"/>
        <v>underfunded</v>
      </c>
    </row>
    <row r="232" spans="1:22" ht="48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8307</v>
      </c>
      <c r="R232" t="s">
        <v>8311</v>
      </c>
      <c r="S232" s="14">
        <f t="shared" si="20"/>
        <v>42129.777210648142</v>
      </c>
      <c r="T232" s="14">
        <f t="shared" si="21"/>
        <v>42159.777210648142</v>
      </c>
      <c r="U232" s="64">
        <f t="shared" si="22"/>
        <v>30</v>
      </c>
      <c r="V232" s="13" t="str">
        <f t="shared" si="23"/>
        <v>underfunded</v>
      </c>
    </row>
    <row r="233" spans="1:22" ht="48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8307</v>
      </c>
      <c r="R233" t="s">
        <v>8311</v>
      </c>
      <c r="S233" s="14">
        <f t="shared" si="20"/>
        <v>42341.958923611113</v>
      </c>
      <c r="T233" s="14">
        <f t="shared" si="21"/>
        <v>42371.958923611113</v>
      </c>
      <c r="U233" s="64">
        <f t="shared" si="22"/>
        <v>30</v>
      </c>
      <c r="V233" s="13" t="str">
        <f t="shared" si="23"/>
        <v>underfunded</v>
      </c>
    </row>
    <row r="234" spans="1:22" ht="48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8307</v>
      </c>
      <c r="R234" t="s">
        <v>8311</v>
      </c>
      <c r="S234" s="14">
        <f t="shared" si="20"/>
        <v>42032.82576388889</v>
      </c>
      <c r="T234" s="14">
        <f t="shared" si="21"/>
        <v>42062.82576388889</v>
      </c>
      <c r="U234" s="64">
        <f t="shared" si="22"/>
        <v>30</v>
      </c>
      <c r="V234" s="13" t="str">
        <f t="shared" si="23"/>
        <v>underfunded</v>
      </c>
    </row>
    <row r="235" spans="1:22" ht="48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8307</v>
      </c>
      <c r="R235" t="s">
        <v>8311</v>
      </c>
      <c r="S235" s="14">
        <f t="shared" si="20"/>
        <v>42612.911712962959</v>
      </c>
      <c r="T235" s="14">
        <f t="shared" si="21"/>
        <v>42642.911712962959</v>
      </c>
      <c r="U235" s="64">
        <f t="shared" si="22"/>
        <v>30</v>
      </c>
      <c r="V235" s="13" t="str">
        <f t="shared" si="23"/>
        <v>underfunded</v>
      </c>
    </row>
    <row r="236" spans="1:22" ht="48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8307</v>
      </c>
      <c r="R236" t="s">
        <v>8311</v>
      </c>
      <c r="S236" s="14">
        <f t="shared" si="20"/>
        <v>42136.035405092596</v>
      </c>
      <c r="T236" s="14">
        <f t="shared" si="21"/>
        <v>42176.035405092596</v>
      </c>
      <c r="U236" s="64">
        <f t="shared" si="22"/>
        <v>40</v>
      </c>
      <c r="V236" s="13" t="str">
        <f t="shared" si="23"/>
        <v>underfunded</v>
      </c>
    </row>
    <row r="237" spans="1:22" ht="3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8307</v>
      </c>
      <c r="R237" t="s">
        <v>8311</v>
      </c>
      <c r="S237" s="14">
        <f t="shared" si="20"/>
        <v>42164.908530092594</v>
      </c>
      <c r="T237" s="14">
        <f t="shared" si="21"/>
        <v>42194.908530092594</v>
      </c>
      <c r="U237" s="64">
        <f t="shared" si="22"/>
        <v>30</v>
      </c>
      <c r="V237" s="13" t="str">
        <f t="shared" si="23"/>
        <v>underfunded</v>
      </c>
    </row>
    <row r="238" spans="1:22" ht="48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8307</v>
      </c>
      <c r="R238" t="s">
        <v>8311</v>
      </c>
      <c r="S238" s="14">
        <f t="shared" si="20"/>
        <v>42321.08447916666</v>
      </c>
      <c r="T238" s="14">
        <f t="shared" si="21"/>
        <v>42374</v>
      </c>
      <c r="U238" s="64">
        <f t="shared" si="22"/>
        <v>52.915520833339542</v>
      </c>
      <c r="V238" s="13" t="str">
        <f t="shared" si="23"/>
        <v>underfunded</v>
      </c>
    </row>
    <row r="239" spans="1:22" ht="16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8307</v>
      </c>
      <c r="R239" t="s">
        <v>8311</v>
      </c>
      <c r="S239" s="14">
        <f t="shared" si="20"/>
        <v>42377.577187499999</v>
      </c>
      <c r="T239" s="14">
        <f t="shared" si="21"/>
        <v>42437.577187499999</v>
      </c>
      <c r="U239" s="64">
        <f t="shared" si="22"/>
        <v>60</v>
      </c>
      <c r="V239" s="13" t="str">
        <f t="shared" si="23"/>
        <v>underfunded</v>
      </c>
    </row>
    <row r="240" spans="1:22" ht="48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8307</v>
      </c>
      <c r="R240" t="s">
        <v>8311</v>
      </c>
      <c r="S240" s="14">
        <f t="shared" si="20"/>
        <v>42713.962499999994</v>
      </c>
      <c r="T240" s="14">
        <f t="shared" si="21"/>
        <v>42734.375</v>
      </c>
      <c r="U240" s="64">
        <f t="shared" si="22"/>
        <v>20.412500000005821</v>
      </c>
      <c r="V240" s="13" t="str">
        <f t="shared" si="23"/>
        <v>underfunded</v>
      </c>
    </row>
    <row r="241" spans="1:22" ht="48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8307</v>
      </c>
      <c r="R241" t="s">
        <v>8311</v>
      </c>
      <c r="S241" s="14">
        <f t="shared" si="20"/>
        <v>42297.110300925924</v>
      </c>
      <c r="T241" s="14">
        <f t="shared" si="21"/>
        <v>42316.5</v>
      </c>
      <c r="U241" s="64">
        <f t="shared" si="22"/>
        <v>19.389699074075907</v>
      </c>
      <c r="V241" s="13" t="str">
        <f t="shared" si="23"/>
        <v>underfunded</v>
      </c>
    </row>
    <row r="242" spans="1:22" ht="48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8307</v>
      </c>
      <c r="R242" t="s">
        <v>8312</v>
      </c>
      <c r="S242" s="14">
        <f t="shared" si="20"/>
        <v>41354.708460648151</v>
      </c>
      <c r="T242" s="14">
        <f t="shared" si="21"/>
        <v>41399.708460648151</v>
      </c>
      <c r="U242" s="64">
        <f t="shared" si="22"/>
        <v>45</v>
      </c>
      <c r="V242" s="13" t="str">
        <f t="shared" si="23"/>
        <v>funded</v>
      </c>
    </row>
    <row r="243" spans="1:22" ht="48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8307</v>
      </c>
      <c r="R243" t="s">
        <v>8312</v>
      </c>
      <c r="S243" s="14">
        <f t="shared" si="20"/>
        <v>41949.697962962964</v>
      </c>
      <c r="T243" s="14">
        <f t="shared" si="21"/>
        <v>41994.697962962964</v>
      </c>
      <c r="U243" s="64">
        <f t="shared" si="22"/>
        <v>45</v>
      </c>
      <c r="V243" s="13" t="str">
        <f t="shared" si="23"/>
        <v>funded</v>
      </c>
    </row>
    <row r="244" spans="1:22" ht="48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8307</v>
      </c>
      <c r="R244" t="s">
        <v>8312</v>
      </c>
      <c r="S244" s="14">
        <f t="shared" si="20"/>
        <v>40862.492939814816</v>
      </c>
      <c r="T244" s="14">
        <f t="shared" si="21"/>
        <v>40897.492939814816</v>
      </c>
      <c r="U244" s="64">
        <f t="shared" si="22"/>
        <v>35</v>
      </c>
      <c r="V244" s="13" t="str">
        <f t="shared" si="23"/>
        <v>funded</v>
      </c>
    </row>
    <row r="245" spans="1:22" ht="48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8307</v>
      </c>
      <c r="R245" t="s">
        <v>8312</v>
      </c>
      <c r="S245" s="14">
        <f t="shared" si="20"/>
        <v>41662.047500000001</v>
      </c>
      <c r="T245" s="14">
        <f t="shared" si="21"/>
        <v>41692.047500000001</v>
      </c>
      <c r="U245" s="64">
        <f t="shared" si="22"/>
        <v>30</v>
      </c>
      <c r="V245" s="13" t="str">
        <f t="shared" si="23"/>
        <v>funded</v>
      </c>
    </row>
    <row r="246" spans="1:22" ht="48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8307</v>
      </c>
      <c r="R246" t="s">
        <v>8312</v>
      </c>
      <c r="S246" s="14">
        <f t="shared" si="20"/>
        <v>40213.323599537034</v>
      </c>
      <c r="T246" s="14">
        <f t="shared" si="21"/>
        <v>40253.29583333333</v>
      </c>
      <c r="U246" s="64">
        <f t="shared" si="22"/>
        <v>39.972233796295768</v>
      </c>
      <c r="V246" s="13" t="str">
        <f t="shared" si="23"/>
        <v>funded</v>
      </c>
    </row>
    <row r="247" spans="1:22" ht="48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8307</v>
      </c>
      <c r="R247" t="s">
        <v>8312</v>
      </c>
      <c r="S247" s="14">
        <f t="shared" si="20"/>
        <v>41107.053067129629</v>
      </c>
      <c r="T247" s="14">
        <f t="shared" si="21"/>
        <v>41137.053067129629</v>
      </c>
      <c r="U247" s="64">
        <f t="shared" si="22"/>
        <v>30</v>
      </c>
      <c r="V247" s="13" t="str">
        <f t="shared" si="23"/>
        <v>funded</v>
      </c>
    </row>
    <row r="248" spans="1:22" ht="48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8307</v>
      </c>
      <c r="R248" t="s">
        <v>8312</v>
      </c>
      <c r="S248" s="14">
        <f t="shared" si="20"/>
        <v>40480.363483796296</v>
      </c>
      <c r="T248" s="14">
        <f t="shared" si="21"/>
        <v>40530.405150462961</v>
      </c>
      <c r="U248" s="64">
        <f t="shared" si="22"/>
        <v>50.041666666664241</v>
      </c>
      <c r="V248" s="13" t="str">
        <f t="shared" si="23"/>
        <v>funded</v>
      </c>
    </row>
    <row r="249" spans="1:22" ht="6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8307</v>
      </c>
      <c r="R249" t="s">
        <v>8312</v>
      </c>
      <c r="S249" s="14">
        <f t="shared" si="20"/>
        <v>40430.604328703703</v>
      </c>
      <c r="T249" s="14">
        <f t="shared" si="21"/>
        <v>40467.152083333334</v>
      </c>
      <c r="U249" s="64">
        <f t="shared" si="22"/>
        <v>36.547754629631527</v>
      </c>
      <c r="V249" s="13" t="str">
        <f t="shared" si="23"/>
        <v>funded</v>
      </c>
    </row>
    <row r="250" spans="1:22" ht="48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8307</v>
      </c>
      <c r="R250" t="s">
        <v>8312</v>
      </c>
      <c r="S250" s="14">
        <f t="shared" si="20"/>
        <v>40870.774409722224</v>
      </c>
      <c r="T250" s="14">
        <f t="shared" si="21"/>
        <v>40915.774409722224</v>
      </c>
      <c r="U250" s="64">
        <f t="shared" si="22"/>
        <v>45</v>
      </c>
      <c r="V250" s="13" t="str">
        <f t="shared" si="23"/>
        <v>funded</v>
      </c>
    </row>
    <row r="251" spans="1:22" ht="48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8307</v>
      </c>
      <c r="R251" t="s">
        <v>8312</v>
      </c>
      <c r="S251" s="14">
        <f t="shared" si="20"/>
        <v>40332.923842592594</v>
      </c>
      <c r="T251" s="14">
        <f t="shared" si="21"/>
        <v>40412.736111111109</v>
      </c>
      <c r="U251" s="64">
        <f t="shared" si="22"/>
        <v>79.812268518515339</v>
      </c>
      <c r="V251" s="13" t="str">
        <f t="shared" si="23"/>
        <v>funded</v>
      </c>
    </row>
    <row r="252" spans="1:22" ht="48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8307</v>
      </c>
      <c r="R252" t="s">
        <v>8312</v>
      </c>
      <c r="S252" s="14">
        <f t="shared" si="20"/>
        <v>41401.565868055557</v>
      </c>
      <c r="T252" s="14">
        <f t="shared" si="21"/>
        <v>41431.565868055557</v>
      </c>
      <c r="U252" s="64">
        <f t="shared" si="22"/>
        <v>30</v>
      </c>
      <c r="V252" s="13" t="str">
        <f t="shared" si="23"/>
        <v>funded</v>
      </c>
    </row>
    <row r="253" spans="1:22" ht="48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8307</v>
      </c>
      <c r="R253" t="s">
        <v>8312</v>
      </c>
      <c r="S253" s="14">
        <f t="shared" si="20"/>
        <v>41013.787569444445</v>
      </c>
      <c r="T253" s="14">
        <f t="shared" si="21"/>
        <v>41045.791666666664</v>
      </c>
      <c r="U253" s="64">
        <f t="shared" si="22"/>
        <v>32.004097222219571</v>
      </c>
      <c r="V253" s="13" t="str">
        <f t="shared" si="23"/>
        <v>funded</v>
      </c>
    </row>
    <row r="254" spans="1:22" ht="48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8307</v>
      </c>
      <c r="R254" t="s">
        <v>8312</v>
      </c>
      <c r="S254" s="14">
        <f t="shared" si="20"/>
        <v>40266.662708333337</v>
      </c>
      <c r="T254" s="14">
        <f t="shared" si="21"/>
        <v>40330.165972222225</v>
      </c>
      <c r="U254" s="64">
        <f t="shared" si="22"/>
        <v>63.503263888887886</v>
      </c>
      <c r="V254" s="13" t="str">
        <f t="shared" si="23"/>
        <v>funded</v>
      </c>
    </row>
    <row r="255" spans="1:22" ht="48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8307</v>
      </c>
      <c r="R255" t="s">
        <v>8312</v>
      </c>
      <c r="S255" s="14">
        <f t="shared" si="20"/>
        <v>40924.650868055556</v>
      </c>
      <c r="T255" s="14">
        <f t="shared" si="21"/>
        <v>40954.650868055556</v>
      </c>
      <c r="U255" s="64">
        <f t="shared" si="22"/>
        <v>30</v>
      </c>
      <c r="V255" s="13" t="str">
        <f t="shared" si="23"/>
        <v>funded</v>
      </c>
    </row>
    <row r="256" spans="1:22" ht="48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8307</v>
      </c>
      <c r="R256" t="s">
        <v>8312</v>
      </c>
      <c r="S256" s="14">
        <f t="shared" si="20"/>
        <v>42263.952662037031</v>
      </c>
      <c r="T256" s="14">
        <f t="shared" si="21"/>
        <v>42294.083333333328</v>
      </c>
      <c r="U256" s="64">
        <f t="shared" si="22"/>
        <v>30.130671296297805</v>
      </c>
      <c r="V256" s="13" t="str">
        <f t="shared" si="23"/>
        <v>funded</v>
      </c>
    </row>
    <row r="257" spans="1:22" ht="3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8307</v>
      </c>
      <c r="R257" t="s">
        <v>8312</v>
      </c>
      <c r="S257" s="14">
        <f t="shared" si="20"/>
        <v>40588.526412037041</v>
      </c>
      <c r="T257" s="14">
        <f t="shared" si="21"/>
        <v>40618.48474537037</v>
      </c>
      <c r="U257" s="64">
        <f t="shared" si="22"/>
        <v>29.958333333328483</v>
      </c>
      <c r="V257" s="13" t="str">
        <f t="shared" si="23"/>
        <v>funded</v>
      </c>
    </row>
    <row r="258" spans="1:22" ht="48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s="10" t="s">
        <v>8307</v>
      </c>
      <c r="R258" t="s">
        <v>8312</v>
      </c>
      <c r="S258" s="14">
        <f t="shared" si="20"/>
        <v>41319.769293981481</v>
      </c>
      <c r="T258" s="14">
        <f t="shared" si="21"/>
        <v>41349.769293981481</v>
      </c>
      <c r="U258" s="64">
        <f t="shared" si="22"/>
        <v>30</v>
      </c>
      <c r="V258" s="13" t="str">
        <f t="shared" si="23"/>
        <v>funded</v>
      </c>
    </row>
    <row r="259" spans="1:22" ht="48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ROUND(E259/D259*100,0)</f>
        <v>107</v>
      </c>
      <c r="P259">
        <f t="shared" ref="P259:P322" si="25">IFERROR(ROUND(E259/L259,2), 0)</f>
        <v>66.7</v>
      </c>
      <c r="Q259" s="10" t="s">
        <v>8307</v>
      </c>
      <c r="R259" t="s">
        <v>8312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 s="64">
        <f t="shared" ref="U259:V322" si="28">T259-S259</f>
        <v>30</v>
      </c>
      <c r="V259" s="13" t="str">
        <f t="shared" ref="V259:V322" si="29">IF(E259&gt;=D259, "funded", "underfunded")</f>
        <v>funded</v>
      </c>
    </row>
    <row r="260" spans="1:22" ht="48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8307</v>
      </c>
      <c r="R260" t="s">
        <v>8312</v>
      </c>
      <c r="S260" s="14">
        <f t="shared" si="26"/>
        <v>40682.051689814813</v>
      </c>
      <c r="T260" s="14">
        <f t="shared" si="27"/>
        <v>40712.051689814813</v>
      </c>
      <c r="U260" s="64">
        <f t="shared" si="28"/>
        <v>30</v>
      </c>
      <c r="V260" s="13" t="str">
        <f t="shared" si="29"/>
        <v>funded</v>
      </c>
    </row>
    <row r="261" spans="1:22" ht="48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8307</v>
      </c>
      <c r="R261" t="s">
        <v>8312</v>
      </c>
      <c r="S261" s="14">
        <f t="shared" si="26"/>
        <v>42072.738067129627</v>
      </c>
      <c r="T261" s="14">
        <f t="shared" si="27"/>
        <v>42102.738067129627</v>
      </c>
      <c r="U261" s="64">
        <f t="shared" si="28"/>
        <v>30</v>
      </c>
      <c r="V261" s="13" t="str">
        <f t="shared" si="29"/>
        <v>funded</v>
      </c>
    </row>
    <row r="262" spans="1:22" ht="3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8307</v>
      </c>
      <c r="R262" t="s">
        <v>8312</v>
      </c>
      <c r="S262" s="14">
        <f t="shared" si="26"/>
        <v>40330.755543981482</v>
      </c>
      <c r="T262" s="14">
        <f t="shared" si="27"/>
        <v>40376.415972222225</v>
      </c>
      <c r="U262" s="64">
        <f t="shared" si="28"/>
        <v>45.660428240742476</v>
      </c>
      <c r="V262" s="13" t="str">
        <f t="shared" si="29"/>
        <v>funded</v>
      </c>
    </row>
    <row r="263" spans="1:22" ht="3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8307</v>
      </c>
      <c r="R263" t="s">
        <v>8312</v>
      </c>
      <c r="S263" s="14">
        <f t="shared" si="26"/>
        <v>41017.885462962964</v>
      </c>
      <c r="T263" s="14">
        <f t="shared" si="27"/>
        <v>41067.621527777781</v>
      </c>
      <c r="U263" s="64">
        <f t="shared" si="28"/>
        <v>49.736064814816928</v>
      </c>
      <c r="V263" s="13" t="str">
        <f t="shared" si="29"/>
        <v>funded</v>
      </c>
    </row>
    <row r="264" spans="1:22" ht="3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8307</v>
      </c>
      <c r="R264" t="s">
        <v>8312</v>
      </c>
      <c r="S264" s="14">
        <f t="shared" si="26"/>
        <v>40555.24800925926</v>
      </c>
      <c r="T264" s="14">
        <f t="shared" si="27"/>
        <v>40600.24800925926</v>
      </c>
      <c r="U264" s="64">
        <f t="shared" si="28"/>
        <v>45</v>
      </c>
      <c r="V264" s="13" t="str">
        <f t="shared" si="29"/>
        <v>funded</v>
      </c>
    </row>
    <row r="265" spans="1:22" ht="6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8307</v>
      </c>
      <c r="R265" t="s">
        <v>8312</v>
      </c>
      <c r="S265" s="14">
        <f t="shared" si="26"/>
        <v>41149.954791666663</v>
      </c>
      <c r="T265" s="14">
        <f t="shared" si="27"/>
        <v>41179.954791666663</v>
      </c>
      <c r="U265" s="64">
        <f t="shared" si="28"/>
        <v>30</v>
      </c>
      <c r="V265" s="13" t="str">
        <f t="shared" si="29"/>
        <v>funded</v>
      </c>
    </row>
    <row r="266" spans="1:22" ht="6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8307</v>
      </c>
      <c r="R266" t="s">
        <v>8312</v>
      </c>
      <c r="S266" s="14">
        <f t="shared" si="26"/>
        <v>41010.620312500003</v>
      </c>
      <c r="T266" s="14">
        <f t="shared" si="27"/>
        <v>41040.620312500003</v>
      </c>
      <c r="U266" s="64">
        <f t="shared" si="28"/>
        <v>30</v>
      </c>
      <c r="V266" s="13" t="str">
        <f t="shared" si="29"/>
        <v>funded</v>
      </c>
    </row>
    <row r="267" spans="1:22" ht="6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8307</v>
      </c>
      <c r="R267" t="s">
        <v>8312</v>
      </c>
      <c r="S267" s="14">
        <f t="shared" si="26"/>
        <v>40267.245717592588</v>
      </c>
      <c r="T267" s="14">
        <f t="shared" si="27"/>
        <v>40308.844444444447</v>
      </c>
      <c r="U267" s="64">
        <f t="shared" si="28"/>
        <v>41.598726851858373</v>
      </c>
      <c r="V267" s="13" t="str">
        <f t="shared" si="29"/>
        <v>funded</v>
      </c>
    </row>
    <row r="268" spans="1:22" ht="48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8307</v>
      </c>
      <c r="R268" t="s">
        <v>8312</v>
      </c>
      <c r="S268" s="14">
        <f t="shared" si="26"/>
        <v>40205.174849537041</v>
      </c>
      <c r="T268" s="14">
        <f t="shared" si="27"/>
        <v>40291.160416666666</v>
      </c>
      <c r="U268" s="64">
        <f t="shared" si="28"/>
        <v>85.985567129624542</v>
      </c>
      <c r="V268" s="13" t="str">
        <f t="shared" si="29"/>
        <v>funded</v>
      </c>
    </row>
    <row r="269" spans="1:22" ht="48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8307</v>
      </c>
      <c r="R269" t="s">
        <v>8312</v>
      </c>
      <c r="S269" s="14">
        <f t="shared" si="26"/>
        <v>41785.452534722222</v>
      </c>
      <c r="T269" s="14">
        <f t="shared" si="27"/>
        <v>41815.452534722222</v>
      </c>
      <c r="U269" s="64">
        <f t="shared" si="28"/>
        <v>30</v>
      </c>
      <c r="V269" s="13" t="str">
        <f t="shared" si="29"/>
        <v>funded</v>
      </c>
    </row>
    <row r="270" spans="1:22" ht="48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8307</v>
      </c>
      <c r="R270" t="s">
        <v>8312</v>
      </c>
      <c r="S270" s="14">
        <f t="shared" si="26"/>
        <v>40809.15252314815</v>
      </c>
      <c r="T270" s="14">
        <f t="shared" si="27"/>
        <v>40854.194189814814</v>
      </c>
      <c r="U270" s="64">
        <f t="shared" si="28"/>
        <v>45.041666666664241</v>
      </c>
      <c r="V270" s="13" t="str">
        <f t="shared" si="29"/>
        <v>funded</v>
      </c>
    </row>
    <row r="271" spans="1:22" ht="48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8307</v>
      </c>
      <c r="R271" t="s">
        <v>8312</v>
      </c>
      <c r="S271" s="14">
        <f t="shared" si="26"/>
        <v>42758.197013888886</v>
      </c>
      <c r="T271" s="14">
        <f t="shared" si="27"/>
        <v>42788.197013888886</v>
      </c>
      <c r="U271" s="64">
        <f t="shared" si="28"/>
        <v>30</v>
      </c>
      <c r="V271" s="13" t="str">
        <f t="shared" si="29"/>
        <v>funded</v>
      </c>
    </row>
    <row r="272" spans="1:22" ht="48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8307</v>
      </c>
      <c r="R272" t="s">
        <v>8312</v>
      </c>
      <c r="S272" s="14">
        <f t="shared" si="26"/>
        <v>40637.866550925923</v>
      </c>
      <c r="T272" s="14">
        <f t="shared" si="27"/>
        <v>40688.166666666664</v>
      </c>
      <c r="U272" s="64">
        <f t="shared" si="28"/>
        <v>50.300115740741603</v>
      </c>
      <c r="V272" s="13" t="str">
        <f t="shared" si="29"/>
        <v>funded</v>
      </c>
    </row>
    <row r="273" spans="1:22" ht="48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8307</v>
      </c>
      <c r="R273" t="s">
        <v>8312</v>
      </c>
      <c r="S273" s="14">
        <f t="shared" si="26"/>
        <v>41612.10024305556</v>
      </c>
      <c r="T273" s="14">
        <f t="shared" si="27"/>
        <v>41641.333333333336</v>
      </c>
      <c r="U273" s="64">
        <f t="shared" si="28"/>
        <v>29.233090277775773</v>
      </c>
      <c r="V273" s="13" t="str">
        <f t="shared" si="29"/>
        <v>funded</v>
      </c>
    </row>
    <row r="274" spans="1:22" ht="48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8307</v>
      </c>
      <c r="R274" t="s">
        <v>8312</v>
      </c>
      <c r="S274" s="14">
        <f t="shared" si="26"/>
        <v>40235.900358796294</v>
      </c>
      <c r="T274" s="14">
        <f t="shared" si="27"/>
        <v>40296.78402777778</v>
      </c>
      <c r="U274" s="64">
        <f t="shared" si="28"/>
        <v>60.883668981485243</v>
      </c>
      <c r="V274" s="13" t="str">
        <f t="shared" si="29"/>
        <v>funded</v>
      </c>
    </row>
    <row r="275" spans="1:22" ht="48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8307</v>
      </c>
      <c r="R275" t="s">
        <v>8312</v>
      </c>
      <c r="S275" s="14">
        <f t="shared" si="26"/>
        <v>40697.498449074075</v>
      </c>
      <c r="T275" s="14">
        <f t="shared" si="27"/>
        <v>40727.498449074075</v>
      </c>
      <c r="U275" s="64">
        <f t="shared" si="28"/>
        <v>30</v>
      </c>
      <c r="V275" s="13" t="str">
        <f t="shared" si="29"/>
        <v>funded</v>
      </c>
    </row>
    <row r="276" spans="1:22" ht="48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8307</v>
      </c>
      <c r="R276" t="s">
        <v>8312</v>
      </c>
      <c r="S276" s="14">
        <f t="shared" si="26"/>
        <v>40969.912372685183</v>
      </c>
      <c r="T276" s="14">
        <f t="shared" si="27"/>
        <v>41004.290972222225</v>
      </c>
      <c r="U276" s="64">
        <f t="shared" si="28"/>
        <v>34.378599537041737</v>
      </c>
      <c r="V276" s="13" t="str">
        <f t="shared" si="29"/>
        <v>funded</v>
      </c>
    </row>
    <row r="277" spans="1:22" ht="48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8307</v>
      </c>
      <c r="R277" t="s">
        <v>8312</v>
      </c>
      <c r="S277" s="14">
        <f t="shared" si="26"/>
        <v>41193.032013888893</v>
      </c>
      <c r="T277" s="14">
        <f t="shared" si="27"/>
        <v>41223.073680555557</v>
      </c>
      <c r="U277" s="64">
        <f t="shared" si="28"/>
        <v>30.041666666664241</v>
      </c>
      <c r="V277" s="13" t="str">
        <f t="shared" si="29"/>
        <v>funded</v>
      </c>
    </row>
    <row r="278" spans="1:22" ht="48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8307</v>
      </c>
      <c r="R278" t="s">
        <v>8312</v>
      </c>
      <c r="S278" s="14">
        <f t="shared" si="26"/>
        <v>40967.081874999996</v>
      </c>
      <c r="T278" s="14">
        <f t="shared" si="27"/>
        <v>41027.040208333332</v>
      </c>
      <c r="U278" s="64">
        <f t="shared" si="28"/>
        <v>59.958333333335759</v>
      </c>
      <c r="V278" s="13" t="str">
        <f t="shared" si="29"/>
        <v>funded</v>
      </c>
    </row>
    <row r="279" spans="1:22" ht="48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8307</v>
      </c>
      <c r="R279" t="s">
        <v>8312</v>
      </c>
      <c r="S279" s="14">
        <f t="shared" si="26"/>
        <v>42117.891423611116</v>
      </c>
      <c r="T279" s="14">
        <f t="shared" si="27"/>
        <v>42147.891423611116</v>
      </c>
      <c r="U279" s="64">
        <f t="shared" si="28"/>
        <v>30</v>
      </c>
      <c r="V279" s="13" t="str">
        <f t="shared" si="29"/>
        <v>funded</v>
      </c>
    </row>
    <row r="280" spans="1:22" ht="3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8307</v>
      </c>
      <c r="R280" t="s">
        <v>8312</v>
      </c>
      <c r="S280" s="14">
        <f t="shared" si="26"/>
        <v>41164.040960648148</v>
      </c>
      <c r="T280" s="14">
        <f t="shared" si="27"/>
        <v>41194.040960648148</v>
      </c>
      <c r="U280" s="64">
        <f t="shared" si="28"/>
        <v>30</v>
      </c>
      <c r="V280" s="13" t="str">
        <f t="shared" si="29"/>
        <v>funded</v>
      </c>
    </row>
    <row r="281" spans="1:22" ht="48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8307</v>
      </c>
      <c r="R281" t="s">
        <v>8312</v>
      </c>
      <c r="S281" s="14">
        <f t="shared" si="26"/>
        <v>42759.244166666671</v>
      </c>
      <c r="T281" s="14">
        <f t="shared" si="27"/>
        <v>42793.084027777775</v>
      </c>
      <c r="U281" s="64">
        <f t="shared" si="28"/>
        <v>33.839861111104256</v>
      </c>
      <c r="V281" s="13" t="str">
        <f t="shared" si="29"/>
        <v>funded</v>
      </c>
    </row>
    <row r="282" spans="1:22" ht="48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8307</v>
      </c>
      <c r="R282" t="s">
        <v>8312</v>
      </c>
      <c r="S282" s="14">
        <f t="shared" si="26"/>
        <v>41744.590682870366</v>
      </c>
      <c r="T282" s="14">
        <f t="shared" si="27"/>
        <v>41789.590682870366</v>
      </c>
      <c r="U282" s="64">
        <f t="shared" si="28"/>
        <v>45</v>
      </c>
      <c r="V282" s="13" t="str">
        <f t="shared" si="29"/>
        <v>funded</v>
      </c>
    </row>
    <row r="283" spans="1:22" ht="48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8307</v>
      </c>
      <c r="R283" t="s">
        <v>8312</v>
      </c>
      <c r="S283" s="14">
        <f t="shared" si="26"/>
        <v>39950.163344907407</v>
      </c>
      <c r="T283" s="14">
        <f t="shared" si="27"/>
        <v>40035.80972222222</v>
      </c>
      <c r="U283" s="64">
        <f t="shared" si="28"/>
        <v>85.646377314813435</v>
      </c>
      <c r="V283" s="13" t="str">
        <f t="shared" si="29"/>
        <v>funded</v>
      </c>
    </row>
    <row r="284" spans="1:22" ht="48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8307</v>
      </c>
      <c r="R284" t="s">
        <v>8312</v>
      </c>
      <c r="S284" s="14">
        <f t="shared" si="26"/>
        <v>40194.920046296298</v>
      </c>
      <c r="T284" s="14">
        <f t="shared" si="27"/>
        <v>40231.916666666664</v>
      </c>
      <c r="U284" s="64">
        <f t="shared" si="28"/>
        <v>36.996620370366145</v>
      </c>
      <c r="V284" s="13" t="str">
        <f t="shared" si="29"/>
        <v>funded</v>
      </c>
    </row>
    <row r="285" spans="1:22" ht="3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8307</v>
      </c>
      <c r="R285" t="s">
        <v>8312</v>
      </c>
      <c r="S285" s="14">
        <f t="shared" si="26"/>
        <v>40675.71</v>
      </c>
      <c r="T285" s="14">
        <f t="shared" si="27"/>
        <v>40695.207638888889</v>
      </c>
      <c r="U285" s="64">
        <f t="shared" si="28"/>
        <v>19.497638888889924</v>
      </c>
      <c r="V285" s="13" t="str">
        <f t="shared" si="29"/>
        <v>funded</v>
      </c>
    </row>
    <row r="286" spans="1:22" ht="48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8307</v>
      </c>
      <c r="R286" t="s">
        <v>8312</v>
      </c>
      <c r="S286" s="14">
        <f t="shared" si="26"/>
        <v>40904.738194444442</v>
      </c>
      <c r="T286" s="14">
        <f t="shared" si="27"/>
        <v>40929.738194444442</v>
      </c>
      <c r="U286" s="64">
        <f t="shared" si="28"/>
        <v>25</v>
      </c>
      <c r="V286" s="13" t="str">
        <f t="shared" si="29"/>
        <v>funded</v>
      </c>
    </row>
    <row r="287" spans="1:22" ht="48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8307</v>
      </c>
      <c r="R287" t="s">
        <v>8312</v>
      </c>
      <c r="S287" s="14">
        <f t="shared" si="26"/>
        <v>41506.756111111114</v>
      </c>
      <c r="T287" s="14">
        <f t="shared" si="27"/>
        <v>41536.756111111114</v>
      </c>
      <c r="U287" s="64">
        <f t="shared" si="28"/>
        <v>30</v>
      </c>
      <c r="V287" s="13" t="str">
        <f t="shared" si="29"/>
        <v>funded</v>
      </c>
    </row>
    <row r="288" spans="1:22" ht="48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8307</v>
      </c>
      <c r="R288" t="s">
        <v>8312</v>
      </c>
      <c r="S288" s="14">
        <f t="shared" si="26"/>
        <v>41313.816249999996</v>
      </c>
      <c r="T288" s="14">
        <f t="shared" si="27"/>
        <v>41358.774583333332</v>
      </c>
      <c r="U288" s="64">
        <f t="shared" si="28"/>
        <v>44.958333333335759</v>
      </c>
      <c r="V288" s="13" t="str">
        <f t="shared" si="29"/>
        <v>funded</v>
      </c>
    </row>
    <row r="289" spans="1:22" ht="3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8307</v>
      </c>
      <c r="R289" t="s">
        <v>8312</v>
      </c>
      <c r="S289" s="14">
        <f t="shared" si="26"/>
        <v>41184.277986111112</v>
      </c>
      <c r="T289" s="14">
        <f t="shared" si="27"/>
        <v>41215.166666666664</v>
      </c>
      <c r="U289" s="64">
        <f t="shared" si="28"/>
        <v>30.888680555552128</v>
      </c>
      <c r="V289" s="13" t="str">
        <f t="shared" si="29"/>
        <v>funded</v>
      </c>
    </row>
    <row r="290" spans="1:22" ht="48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8307</v>
      </c>
      <c r="R290" t="s">
        <v>8312</v>
      </c>
      <c r="S290" s="14">
        <f t="shared" si="26"/>
        <v>41051.168900462959</v>
      </c>
      <c r="T290" s="14">
        <f t="shared" si="27"/>
        <v>41086.168900462959</v>
      </c>
      <c r="U290" s="64">
        <f t="shared" si="28"/>
        <v>35</v>
      </c>
      <c r="V290" s="13" t="str">
        <f t="shared" si="29"/>
        <v>funded</v>
      </c>
    </row>
    <row r="291" spans="1:22" ht="48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8307</v>
      </c>
      <c r="R291" t="s">
        <v>8312</v>
      </c>
      <c r="S291" s="14">
        <f t="shared" si="26"/>
        <v>41550.456412037034</v>
      </c>
      <c r="T291" s="14">
        <f t="shared" si="27"/>
        <v>41580.456412037034</v>
      </c>
      <c r="U291" s="64">
        <f t="shared" si="28"/>
        <v>30</v>
      </c>
      <c r="V291" s="13" t="str">
        <f t="shared" si="29"/>
        <v>funded</v>
      </c>
    </row>
    <row r="292" spans="1:22" ht="3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8307</v>
      </c>
      <c r="R292" t="s">
        <v>8312</v>
      </c>
      <c r="S292" s="14">
        <f t="shared" si="26"/>
        <v>40526.36917824074</v>
      </c>
      <c r="T292" s="14">
        <f t="shared" si="27"/>
        <v>40576.332638888889</v>
      </c>
      <c r="U292" s="64">
        <f t="shared" si="28"/>
        <v>49.963460648148612</v>
      </c>
      <c r="V292" s="13" t="str">
        <f t="shared" si="29"/>
        <v>funded</v>
      </c>
    </row>
    <row r="293" spans="1:22" ht="48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8307</v>
      </c>
      <c r="R293" t="s">
        <v>8312</v>
      </c>
      <c r="S293" s="14">
        <f t="shared" si="26"/>
        <v>41376.769050925926</v>
      </c>
      <c r="T293" s="14">
        <f t="shared" si="27"/>
        <v>41395.000694444447</v>
      </c>
      <c r="U293" s="64">
        <f t="shared" si="28"/>
        <v>18.231643518520286</v>
      </c>
      <c r="V293" s="13" t="str">
        <f t="shared" si="29"/>
        <v>funded</v>
      </c>
    </row>
    <row r="294" spans="1:22" ht="48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8307</v>
      </c>
      <c r="R294" t="s">
        <v>8312</v>
      </c>
      <c r="S294" s="14">
        <f t="shared" si="26"/>
        <v>40812.803229166668</v>
      </c>
      <c r="T294" s="14">
        <f t="shared" si="27"/>
        <v>40845.165972222225</v>
      </c>
      <c r="U294" s="64">
        <f t="shared" si="28"/>
        <v>32.362743055557075</v>
      </c>
      <c r="V294" s="13" t="str">
        <f t="shared" si="29"/>
        <v>funded</v>
      </c>
    </row>
    <row r="295" spans="1:22" ht="48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8307</v>
      </c>
      <c r="R295" t="s">
        <v>8312</v>
      </c>
      <c r="S295" s="14">
        <f t="shared" si="26"/>
        <v>41719.667986111112</v>
      </c>
      <c r="T295" s="14">
        <f t="shared" si="27"/>
        <v>41749.667986111112</v>
      </c>
      <c r="U295" s="64">
        <f t="shared" si="28"/>
        <v>30</v>
      </c>
      <c r="V295" s="13" t="str">
        <f t="shared" si="29"/>
        <v>funded</v>
      </c>
    </row>
    <row r="296" spans="1:22" ht="48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8307</v>
      </c>
      <c r="R296" t="s">
        <v>8312</v>
      </c>
      <c r="S296" s="14">
        <f t="shared" si="26"/>
        <v>40343.084421296298</v>
      </c>
      <c r="T296" s="14">
        <f t="shared" si="27"/>
        <v>40378.666666666664</v>
      </c>
      <c r="U296" s="64">
        <f t="shared" si="28"/>
        <v>35.582245370365854</v>
      </c>
      <c r="V296" s="13" t="str">
        <f t="shared" si="29"/>
        <v>funded</v>
      </c>
    </row>
    <row r="297" spans="1:22" ht="48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8307</v>
      </c>
      <c r="R297" t="s">
        <v>8312</v>
      </c>
      <c r="S297" s="14">
        <f t="shared" si="26"/>
        <v>41519.004733796297</v>
      </c>
      <c r="T297" s="14">
        <f t="shared" si="27"/>
        <v>41579</v>
      </c>
      <c r="U297" s="64">
        <f t="shared" si="28"/>
        <v>59.995266203703068</v>
      </c>
      <c r="V297" s="13" t="str">
        <f t="shared" si="29"/>
        <v>funded</v>
      </c>
    </row>
    <row r="298" spans="1:22" ht="48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8307</v>
      </c>
      <c r="R298" t="s">
        <v>8312</v>
      </c>
      <c r="S298" s="14">
        <f t="shared" si="26"/>
        <v>41134.475497685184</v>
      </c>
      <c r="T298" s="14">
        <f t="shared" si="27"/>
        <v>41159.475497685184</v>
      </c>
      <c r="U298" s="64">
        <f t="shared" si="28"/>
        <v>25</v>
      </c>
      <c r="V298" s="13" t="str">
        <f t="shared" si="29"/>
        <v>funded</v>
      </c>
    </row>
    <row r="299" spans="1:22" ht="48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8307</v>
      </c>
      <c r="R299" t="s">
        <v>8312</v>
      </c>
      <c r="S299" s="14">
        <f t="shared" si="26"/>
        <v>42089.72802083334</v>
      </c>
      <c r="T299" s="14">
        <f t="shared" si="27"/>
        <v>42125.165972222225</v>
      </c>
      <c r="U299" s="64">
        <f t="shared" si="28"/>
        <v>35.437951388885267</v>
      </c>
      <c r="V299" s="13" t="str">
        <f t="shared" si="29"/>
        <v>funded</v>
      </c>
    </row>
    <row r="300" spans="1:22" ht="3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8307</v>
      </c>
      <c r="R300" t="s">
        <v>8312</v>
      </c>
      <c r="S300" s="14">
        <f t="shared" si="26"/>
        <v>41709.463518518518</v>
      </c>
      <c r="T300" s="14">
        <f t="shared" si="27"/>
        <v>41768.875</v>
      </c>
      <c r="U300" s="64">
        <f t="shared" si="28"/>
        <v>59.411481481482042</v>
      </c>
      <c r="V300" s="13" t="str">
        <f t="shared" si="29"/>
        <v>funded</v>
      </c>
    </row>
    <row r="301" spans="1:22" ht="48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8307</v>
      </c>
      <c r="R301" t="s">
        <v>8312</v>
      </c>
      <c r="S301" s="14">
        <f t="shared" si="26"/>
        <v>40469.225231481483</v>
      </c>
      <c r="T301" s="14">
        <f t="shared" si="27"/>
        <v>40499.266898148147</v>
      </c>
      <c r="U301" s="64">
        <f t="shared" si="28"/>
        <v>30.041666666664241</v>
      </c>
      <c r="V301" s="13" t="str">
        <f t="shared" si="29"/>
        <v>funded</v>
      </c>
    </row>
    <row r="302" spans="1:22" ht="48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8307</v>
      </c>
      <c r="R302" t="s">
        <v>8312</v>
      </c>
      <c r="S302" s="14">
        <f t="shared" si="26"/>
        <v>40626.959930555553</v>
      </c>
      <c r="T302" s="14">
        <f t="shared" si="27"/>
        <v>40657.959930555553</v>
      </c>
      <c r="U302" s="64">
        <f t="shared" si="28"/>
        <v>31</v>
      </c>
      <c r="V302" s="13" t="str">
        <f t="shared" si="29"/>
        <v>funded</v>
      </c>
    </row>
    <row r="303" spans="1:22" ht="48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8307</v>
      </c>
      <c r="R303" t="s">
        <v>8312</v>
      </c>
      <c r="S303" s="14">
        <f t="shared" si="26"/>
        <v>41312.737673611111</v>
      </c>
      <c r="T303" s="14">
        <f t="shared" si="27"/>
        <v>41352.696006944447</v>
      </c>
      <c r="U303" s="64">
        <f t="shared" si="28"/>
        <v>39.958333333335759</v>
      </c>
      <c r="V303" s="13" t="str">
        <f t="shared" si="29"/>
        <v>funded</v>
      </c>
    </row>
    <row r="304" spans="1:22" ht="6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8307</v>
      </c>
      <c r="R304" t="s">
        <v>8312</v>
      </c>
      <c r="S304" s="14">
        <f t="shared" si="26"/>
        <v>40933.856921296298</v>
      </c>
      <c r="T304" s="14">
        <f t="shared" si="27"/>
        <v>40963.856921296298</v>
      </c>
      <c r="U304" s="64">
        <f t="shared" si="28"/>
        <v>30</v>
      </c>
      <c r="V304" s="13" t="str">
        <f t="shared" si="29"/>
        <v>funded</v>
      </c>
    </row>
    <row r="305" spans="1:22" ht="48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8307</v>
      </c>
      <c r="R305" t="s">
        <v>8312</v>
      </c>
      <c r="S305" s="14">
        <f t="shared" si="26"/>
        <v>41032.071134259262</v>
      </c>
      <c r="T305" s="14">
        <f t="shared" si="27"/>
        <v>41062.071134259262</v>
      </c>
      <c r="U305" s="64">
        <f t="shared" si="28"/>
        <v>30</v>
      </c>
      <c r="V305" s="13" t="str">
        <f t="shared" si="29"/>
        <v>funded</v>
      </c>
    </row>
    <row r="306" spans="1:22" ht="3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8307</v>
      </c>
      <c r="R306" t="s">
        <v>8312</v>
      </c>
      <c r="S306" s="14">
        <f t="shared" si="26"/>
        <v>41114.094872685186</v>
      </c>
      <c r="T306" s="14">
        <f t="shared" si="27"/>
        <v>41153.083333333336</v>
      </c>
      <c r="U306" s="64">
        <f t="shared" si="28"/>
        <v>38.988460648150067</v>
      </c>
      <c r="V306" s="13" t="str">
        <f t="shared" si="29"/>
        <v>funded</v>
      </c>
    </row>
    <row r="307" spans="1:22" ht="3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8307</v>
      </c>
      <c r="R307" t="s">
        <v>8312</v>
      </c>
      <c r="S307" s="14">
        <f t="shared" si="26"/>
        <v>40948.630196759259</v>
      </c>
      <c r="T307" s="14">
        <f t="shared" si="27"/>
        <v>40978.630196759259</v>
      </c>
      <c r="U307" s="64">
        <f t="shared" si="28"/>
        <v>30</v>
      </c>
      <c r="V307" s="13" t="str">
        <f t="shared" si="29"/>
        <v>funded</v>
      </c>
    </row>
    <row r="308" spans="1:22" ht="3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8307</v>
      </c>
      <c r="R308" t="s">
        <v>8312</v>
      </c>
      <c r="S308" s="14">
        <f t="shared" si="26"/>
        <v>41333.837187500001</v>
      </c>
      <c r="T308" s="14">
        <f t="shared" si="27"/>
        <v>41353.795520833337</v>
      </c>
      <c r="U308" s="64">
        <f t="shared" si="28"/>
        <v>19.958333333335759</v>
      </c>
      <c r="V308" s="13" t="str">
        <f t="shared" si="29"/>
        <v>funded</v>
      </c>
    </row>
    <row r="309" spans="1:22" ht="16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8307</v>
      </c>
      <c r="R309" t="s">
        <v>8312</v>
      </c>
      <c r="S309" s="14">
        <f t="shared" si="26"/>
        <v>41282.944456018515</v>
      </c>
      <c r="T309" s="14">
        <f t="shared" si="27"/>
        <v>41312.944456018515</v>
      </c>
      <c r="U309" s="64">
        <f t="shared" si="28"/>
        <v>30</v>
      </c>
      <c r="V309" s="13" t="str">
        <f t="shared" si="29"/>
        <v>funded</v>
      </c>
    </row>
    <row r="310" spans="1:22" ht="48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8307</v>
      </c>
      <c r="R310" t="s">
        <v>8312</v>
      </c>
      <c r="S310" s="14">
        <f t="shared" si="26"/>
        <v>40567.694560185184</v>
      </c>
      <c r="T310" s="14">
        <f t="shared" si="27"/>
        <v>40612.694560185184</v>
      </c>
      <c r="U310" s="64">
        <f t="shared" si="28"/>
        <v>45</v>
      </c>
      <c r="V310" s="13" t="str">
        <f t="shared" si="29"/>
        <v>funded</v>
      </c>
    </row>
    <row r="311" spans="1:22" ht="48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8307</v>
      </c>
      <c r="R311" t="s">
        <v>8312</v>
      </c>
      <c r="S311" s="14">
        <f t="shared" si="26"/>
        <v>41134.751550925925</v>
      </c>
      <c r="T311" s="14">
        <f t="shared" si="27"/>
        <v>41155.751550925925</v>
      </c>
      <c r="U311" s="64">
        <f t="shared" si="28"/>
        <v>21</v>
      </c>
      <c r="V311" s="13" t="str">
        <f t="shared" si="29"/>
        <v>funded</v>
      </c>
    </row>
    <row r="312" spans="1:22" ht="48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8307</v>
      </c>
      <c r="R312" t="s">
        <v>8312</v>
      </c>
      <c r="S312" s="14">
        <f t="shared" si="26"/>
        <v>40821.183136574073</v>
      </c>
      <c r="T312" s="14">
        <f t="shared" si="27"/>
        <v>40836.083333333336</v>
      </c>
      <c r="U312" s="64">
        <f t="shared" si="28"/>
        <v>14.900196759263054</v>
      </c>
      <c r="V312" s="13" t="str">
        <f t="shared" si="29"/>
        <v>funded</v>
      </c>
    </row>
    <row r="313" spans="1:22" ht="48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8307</v>
      </c>
      <c r="R313" t="s">
        <v>8312</v>
      </c>
      <c r="S313" s="14">
        <f t="shared" si="26"/>
        <v>40868.219814814816</v>
      </c>
      <c r="T313" s="14">
        <f t="shared" si="27"/>
        <v>40909.332638888889</v>
      </c>
      <c r="U313" s="64">
        <f t="shared" si="28"/>
        <v>41.112824074072705</v>
      </c>
      <c r="V313" s="13" t="str">
        <f t="shared" si="29"/>
        <v>funded</v>
      </c>
    </row>
    <row r="314" spans="1:22" ht="48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8307</v>
      </c>
      <c r="R314" t="s">
        <v>8312</v>
      </c>
      <c r="S314" s="14">
        <f t="shared" si="26"/>
        <v>41348.877685185187</v>
      </c>
      <c r="T314" s="14">
        <f t="shared" si="27"/>
        <v>41378.877685185187</v>
      </c>
      <c r="U314" s="64">
        <f t="shared" si="28"/>
        <v>30</v>
      </c>
      <c r="V314" s="13" t="str">
        <f t="shared" si="29"/>
        <v>funded</v>
      </c>
    </row>
    <row r="315" spans="1:22" ht="48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8307</v>
      </c>
      <c r="R315" t="s">
        <v>8312</v>
      </c>
      <c r="S315" s="14">
        <f t="shared" si="26"/>
        <v>40357.227939814817</v>
      </c>
      <c r="T315" s="14">
        <f t="shared" si="27"/>
        <v>40401.665972222225</v>
      </c>
      <c r="U315" s="64">
        <f t="shared" si="28"/>
        <v>44.438032407408173</v>
      </c>
      <c r="V315" s="13" t="str">
        <f t="shared" si="29"/>
        <v>funded</v>
      </c>
    </row>
    <row r="316" spans="1:22" ht="48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8307</v>
      </c>
      <c r="R316" t="s">
        <v>8312</v>
      </c>
      <c r="S316" s="14">
        <f t="shared" si="26"/>
        <v>41304.833194444444</v>
      </c>
      <c r="T316" s="14">
        <f t="shared" si="27"/>
        <v>41334.833194444444</v>
      </c>
      <c r="U316" s="64">
        <f t="shared" si="28"/>
        <v>30</v>
      </c>
      <c r="V316" s="13" t="str">
        <f t="shared" si="29"/>
        <v>funded</v>
      </c>
    </row>
    <row r="317" spans="1:22" ht="48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8307</v>
      </c>
      <c r="R317" t="s">
        <v>8312</v>
      </c>
      <c r="S317" s="14">
        <f t="shared" si="26"/>
        <v>41113.77238425926</v>
      </c>
      <c r="T317" s="14">
        <f t="shared" si="27"/>
        <v>41143.77238425926</v>
      </c>
      <c r="U317" s="64">
        <f t="shared" si="28"/>
        <v>30</v>
      </c>
      <c r="V317" s="13" t="str">
        <f t="shared" si="29"/>
        <v>funded</v>
      </c>
    </row>
    <row r="318" spans="1:22" ht="3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8307</v>
      </c>
      <c r="R318" t="s">
        <v>8312</v>
      </c>
      <c r="S318" s="14">
        <f t="shared" si="26"/>
        <v>41950.923576388886</v>
      </c>
      <c r="T318" s="14">
        <f t="shared" si="27"/>
        <v>41984.207638888889</v>
      </c>
      <c r="U318" s="64">
        <f t="shared" si="28"/>
        <v>33.284062500002619</v>
      </c>
      <c r="V318" s="13" t="str">
        <f t="shared" si="29"/>
        <v>funded</v>
      </c>
    </row>
    <row r="319" spans="1:22" ht="3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8307</v>
      </c>
      <c r="R319" t="s">
        <v>8312</v>
      </c>
      <c r="S319" s="14">
        <f t="shared" si="26"/>
        <v>41589.676886574074</v>
      </c>
      <c r="T319" s="14">
        <f t="shared" si="27"/>
        <v>41619.676886574074</v>
      </c>
      <c r="U319" s="64">
        <f t="shared" si="28"/>
        <v>30</v>
      </c>
      <c r="V319" s="13" t="str">
        <f t="shared" si="29"/>
        <v>funded</v>
      </c>
    </row>
    <row r="320" spans="1:22" ht="48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8307</v>
      </c>
      <c r="R320" t="s">
        <v>8312</v>
      </c>
      <c r="S320" s="14">
        <f t="shared" si="26"/>
        <v>41330.038784722223</v>
      </c>
      <c r="T320" s="14">
        <f t="shared" si="27"/>
        <v>41359.997118055559</v>
      </c>
      <c r="U320" s="64">
        <f t="shared" si="28"/>
        <v>29.958333333335759</v>
      </c>
      <c r="V320" s="13" t="str">
        <f t="shared" si="29"/>
        <v>funded</v>
      </c>
    </row>
    <row r="321" spans="1:22" ht="6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8307</v>
      </c>
      <c r="R321" t="s">
        <v>8312</v>
      </c>
      <c r="S321" s="14">
        <f t="shared" si="26"/>
        <v>40123.83829861111</v>
      </c>
      <c r="T321" s="14">
        <f t="shared" si="27"/>
        <v>40211.332638888889</v>
      </c>
      <c r="U321" s="64">
        <f t="shared" si="28"/>
        <v>87.494340277778974</v>
      </c>
      <c r="V321" s="13" t="str">
        <f t="shared" si="29"/>
        <v>funded</v>
      </c>
    </row>
    <row r="322" spans="1:22" ht="48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s="10" t="s">
        <v>8307</v>
      </c>
      <c r="R322" t="s">
        <v>8312</v>
      </c>
      <c r="S322" s="14">
        <f t="shared" si="26"/>
        <v>42331.551307870366</v>
      </c>
      <c r="T322" s="14">
        <f t="shared" si="27"/>
        <v>42360.958333333328</v>
      </c>
      <c r="U322" s="64">
        <f t="shared" si="28"/>
        <v>29.407025462962338</v>
      </c>
      <c r="V322" s="13" t="str">
        <f t="shared" si="29"/>
        <v>funded</v>
      </c>
    </row>
    <row r="323" spans="1:22" ht="48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ROUND(E323/D323*100,0)</f>
        <v>103</v>
      </c>
      <c r="P323">
        <f t="shared" ref="P323:P386" si="31">IFERROR(ROUND(E323/L323,2), 0)</f>
        <v>106.62</v>
      </c>
      <c r="Q323" s="10" t="s">
        <v>8307</v>
      </c>
      <c r="R323" t="s">
        <v>8312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 s="64">
        <f t="shared" ref="U323:V386" si="34">T323-S323</f>
        <v>35.041666666671517</v>
      </c>
      <c r="V323" s="13" t="str">
        <f t="shared" ref="V323:V386" si="35">IF(E323&gt;=D323, "funded", "underfunded")</f>
        <v>funded</v>
      </c>
    </row>
    <row r="324" spans="1:22" ht="48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8307</v>
      </c>
      <c r="R324" t="s">
        <v>8312</v>
      </c>
      <c r="S324" s="14">
        <f t="shared" si="32"/>
        <v>42473.57</v>
      </c>
      <c r="T324" s="14">
        <f t="shared" si="33"/>
        <v>42503.57</v>
      </c>
      <c r="U324" s="64">
        <f t="shared" si="34"/>
        <v>30</v>
      </c>
      <c r="V324" s="13" t="str">
        <f t="shared" si="35"/>
        <v>funded</v>
      </c>
    </row>
    <row r="325" spans="1:22" ht="48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8307</v>
      </c>
      <c r="R325" t="s">
        <v>8312</v>
      </c>
      <c r="S325" s="14">
        <f t="shared" si="32"/>
        <v>42697.32136574074</v>
      </c>
      <c r="T325" s="14">
        <f t="shared" si="33"/>
        <v>42725.332638888889</v>
      </c>
      <c r="U325" s="64">
        <f t="shared" si="34"/>
        <v>28.011273148149485</v>
      </c>
      <c r="V325" s="13" t="str">
        <f t="shared" si="35"/>
        <v>funded</v>
      </c>
    </row>
    <row r="326" spans="1:22" ht="48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8307</v>
      </c>
      <c r="R326" t="s">
        <v>8312</v>
      </c>
      <c r="S326" s="14">
        <f t="shared" si="32"/>
        <v>42184.626250000001</v>
      </c>
      <c r="T326" s="14">
        <f t="shared" si="33"/>
        <v>42217.626250000001</v>
      </c>
      <c r="U326" s="64">
        <f t="shared" si="34"/>
        <v>33</v>
      </c>
      <c r="V326" s="13" t="str">
        <f t="shared" si="35"/>
        <v>funded</v>
      </c>
    </row>
    <row r="327" spans="1:22" ht="48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8307</v>
      </c>
      <c r="R327" t="s">
        <v>8312</v>
      </c>
      <c r="S327" s="14">
        <f t="shared" si="32"/>
        <v>42689.187881944439</v>
      </c>
      <c r="T327" s="14">
        <f t="shared" si="33"/>
        <v>42724.187881944439</v>
      </c>
      <c r="U327" s="64">
        <f t="shared" si="34"/>
        <v>35</v>
      </c>
      <c r="V327" s="13" t="str">
        <f t="shared" si="35"/>
        <v>funded</v>
      </c>
    </row>
    <row r="328" spans="1:22" ht="48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8307</v>
      </c>
      <c r="R328" t="s">
        <v>8312</v>
      </c>
      <c r="S328" s="14">
        <f t="shared" si="32"/>
        <v>42775.314884259264</v>
      </c>
      <c r="T328" s="14">
        <f t="shared" si="33"/>
        <v>42808.956250000003</v>
      </c>
      <c r="U328" s="64">
        <f t="shared" si="34"/>
        <v>33.641365740739275</v>
      </c>
      <c r="V328" s="13" t="str">
        <f t="shared" si="35"/>
        <v>funded</v>
      </c>
    </row>
    <row r="329" spans="1:22" ht="48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8307</v>
      </c>
      <c r="R329" t="s">
        <v>8312</v>
      </c>
      <c r="S329" s="14">
        <f t="shared" si="32"/>
        <v>42058.235289351855</v>
      </c>
      <c r="T329" s="14">
        <f t="shared" si="33"/>
        <v>42085.333333333328</v>
      </c>
      <c r="U329" s="64">
        <f t="shared" si="34"/>
        <v>27.098043981473893</v>
      </c>
      <c r="V329" s="13" t="str">
        <f t="shared" si="35"/>
        <v>funded</v>
      </c>
    </row>
    <row r="330" spans="1:22" ht="48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8307</v>
      </c>
      <c r="R330" t="s">
        <v>8312</v>
      </c>
      <c r="S330" s="14">
        <f t="shared" si="32"/>
        <v>42278.946620370371</v>
      </c>
      <c r="T330" s="14">
        <f t="shared" si="33"/>
        <v>42309.166666666672</v>
      </c>
      <c r="U330" s="64">
        <f t="shared" si="34"/>
        <v>30.220046296301007</v>
      </c>
      <c r="V330" s="13" t="str">
        <f t="shared" si="35"/>
        <v>funded</v>
      </c>
    </row>
    <row r="331" spans="1:22" ht="48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8307</v>
      </c>
      <c r="R331" t="s">
        <v>8312</v>
      </c>
      <c r="S331" s="14">
        <f t="shared" si="32"/>
        <v>42291.46674768519</v>
      </c>
      <c r="T331" s="14">
        <f t="shared" si="33"/>
        <v>42315.166666666672</v>
      </c>
      <c r="U331" s="64">
        <f t="shared" si="34"/>
        <v>23.69991898148146</v>
      </c>
      <c r="V331" s="13" t="str">
        <f t="shared" si="35"/>
        <v>funded</v>
      </c>
    </row>
    <row r="332" spans="1:22" ht="48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8307</v>
      </c>
      <c r="R332" t="s">
        <v>8312</v>
      </c>
      <c r="S332" s="14">
        <f t="shared" si="32"/>
        <v>41379.515775462962</v>
      </c>
      <c r="T332" s="14">
        <f t="shared" si="33"/>
        <v>41411.165972222225</v>
      </c>
      <c r="U332" s="64">
        <f t="shared" si="34"/>
        <v>31.650196759263054</v>
      </c>
      <c r="V332" s="13" t="str">
        <f t="shared" si="35"/>
        <v>funded</v>
      </c>
    </row>
    <row r="333" spans="1:22" ht="48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8307</v>
      </c>
      <c r="R333" t="s">
        <v>8312</v>
      </c>
      <c r="S333" s="14">
        <f t="shared" si="32"/>
        <v>42507.581412037034</v>
      </c>
      <c r="T333" s="14">
        <f t="shared" si="33"/>
        <v>42538.581412037034</v>
      </c>
      <c r="U333" s="64">
        <f t="shared" si="34"/>
        <v>31</v>
      </c>
      <c r="V333" s="13" t="str">
        <f t="shared" si="35"/>
        <v>funded</v>
      </c>
    </row>
    <row r="334" spans="1:22" ht="48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8307</v>
      </c>
      <c r="R334" t="s">
        <v>8312</v>
      </c>
      <c r="S334" s="14">
        <f t="shared" si="32"/>
        <v>42263.680289351847</v>
      </c>
      <c r="T334" s="14">
        <f t="shared" si="33"/>
        <v>42305.333333333328</v>
      </c>
      <c r="U334" s="64">
        <f t="shared" si="34"/>
        <v>41.65304398148146</v>
      </c>
      <c r="V334" s="13" t="str">
        <f t="shared" si="35"/>
        <v>funded</v>
      </c>
    </row>
    <row r="335" spans="1:22" ht="48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8307</v>
      </c>
      <c r="R335" t="s">
        <v>8312</v>
      </c>
      <c r="S335" s="14">
        <f t="shared" si="32"/>
        <v>42437.636469907404</v>
      </c>
      <c r="T335" s="14">
        <f t="shared" si="33"/>
        <v>42467.59480324074</v>
      </c>
      <c r="U335" s="64">
        <f t="shared" si="34"/>
        <v>29.958333333335759</v>
      </c>
      <c r="V335" s="13" t="str">
        <f t="shared" si="35"/>
        <v>funded</v>
      </c>
    </row>
    <row r="336" spans="1:22" ht="48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8307</v>
      </c>
      <c r="R336" t="s">
        <v>8312</v>
      </c>
      <c r="S336" s="14">
        <f t="shared" si="32"/>
        <v>42101.682372685187</v>
      </c>
      <c r="T336" s="14">
        <f t="shared" si="33"/>
        <v>42139.791666666672</v>
      </c>
      <c r="U336" s="64">
        <f t="shared" si="34"/>
        <v>38.10929398148437</v>
      </c>
      <c r="V336" s="13" t="str">
        <f t="shared" si="35"/>
        <v>funded</v>
      </c>
    </row>
    <row r="337" spans="1:22" ht="48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8307</v>
      </c>
      <c r="R337" t="s">
        <v>8312</v>
      </c>
      <c r="S337" s="14">
        <f t="shared" si="32"/>
        <v>42101.737442129626</v>
      </c>
      <c r="T337" s="14">
        <f t="shared" si="33"/>
        <v>42132.916666666672</v>
      </c>
      <c r="U337" s="64">
        <f t="shared" si="34"/>
        <v>31.179224537045229</v>
      </c>
      <c r="V337" s="13" t="str">
        <f t="shared" si="35"/>
        <v>funded</v>
      </c>
    </row>
    <row r="338" spans="1:22" ht="48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8307</v>
      </c>
      <c r="R338" t="s">
        <v>8312</v>
      </c>
      <c r="S338" s="14">
        <f t="shared" si="32"/>
        <v>42291.596273148149</v>
      </c>
      <c r="T338" s="14">
        <f t="shared" si="33"/>
        <v>42321.637939814813</v>
      </c>
      <c r="U338" s="64">
        <f t="shared" si="34"/>
        <v>30.041666666664241</v>
      </c>
      <c r="V338" s="13" t="str">
        <f t="shared" si="35"/>
        <v>funded</v>
      </c>
    </row>
    <row r="339" spans="1:22" ht="48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8307</v>
      </c>
      <c r="R339" t="s">
        <v>8312</v>
      </c>
      <c r="S339" s="14">
        <f t="shared" si="32"/>
        <v>42047.128564814819</v>
      </c>
      <c r="T339" s="14">
        <f t="shared" si="33"/>
        <v>42077.086898148147</v>
      </c>
      <c r="U339" s="64">
        <f t="shared" si="34"/>
        <v>29.958333333328483</v>
      </c>
      <c r="V339" s="13" t="str">
        <f t="shared" si="35"/>
        <v>funded</v>
      </c>
    </row>
    <row r="340" spans="1:22" ht="48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8307</v>
      </c>
      <c r="R340" t="s">
        <v>8312</v>
      </c>
      <c r="S340" s="14">
        <f t="shared" si="32"/>
        <v>42559.755671296298</v>
      </c>
      <c r="T340" s="14">
        <f t="shared" si="33"/>
        <v>42616.041666666672</v>
      </c>
      <c r="U340" s="64">
        <f t="shared" si="34"/>
        <v>56.285995370373712</v>
      </c>
      <c r="V340" s="13" t="str">
        <f t="shared" si="35"/>
        <v>funded</v>
      </c>
    </row>
    <row r="341" spans="1:22" ht="48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8307</v>
      </c>
      <c r="R341" t="s">
        <v>8312</v>
      </c>
      <c r="S341" s="14">
        <f t="shared" si="32"/>
        <v>42093.760046296295</v>
      </c>
      <c r="T341" s="14">
        <f t="shared" si="33"/>
        <v>42123.760046296295</v>
      </c>
      <c r="U341" s="64">
        <f t="shared" si="34"/>
        <v>30</v>
      </c>
      <c r="V341" s="13" t="str">
        <f t="shared" si="35"/>
        <v>funded</v>
      </c>
    </row>
    <row r="342" spans="1:22" ht="48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8307</v>
      </c>
      <c r="R342" t="s">
        <v>8312</v>
      </c>
      <c r="S342" s="14">
        <f t="shared" si="32"/>
        <v>42772.669062500005</v>
      </c>
      <c r="T342" s="14">
        <f t="shared" si="33"/>
        <v>42802.875</v>
      </c>
      <c r="U342" s="64">
        <f t="shared" si="34"/>
        <v>30.205937499995343</v>
      </c>
      <c r="V342" s="13" t="str">
        <f t="shared" si="35"/>
        <v>funded</v>
      </c>
    </row>
    <row r="343" spans="1:22" ht="48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8307</v>
      </c>
      <c r="R343" t="s">
        <v>8312</v>
      </c>
      <c r="S343" s="14">
        <f t="shared" si="32"/>
        <v>41894.879606481481</v>
      </c>
      <c r="T343" s="14">
        <f t="shared" si="33"/>
        <v>41913.165972222225</v>
      </c>
      <c r="U343" s="64">
        <f t="shared" si="34"/>
        <v>18.286365740743349</v>
      </c>
      <c r="V343" s="13" t="str">
        <f t="shared" si="35"/>
        <v>funded</v>
      </c>
    </row>
    <row r="344" spans="1:22" ht="3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8307</v>
      </c>
      <c r="R344" t="s">
        <v>8312</v>
      </c>
      <c r="S344" s="14">
        <f t="shared" si="32"/>
        <v>42459.780844907407</v>
      </c>
      <c r="T344" s="14">
        <f t="shared" si="33"/>
        <v>42489.780844907407</v>
      </c>
      <c r="U344" s="64">
        <f t="shared" si="34"/>
        <v>30</v>
      </c>
      <c r="V344" s="13" t="str">
        <f t="shared" si="35"/>
        <v>funded</v>
      </c>
    </row>
    <row r="345" spans="1:22" ht="48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8307</v>
      </c>
      <c r="R345" t="s">
        <v>8312</v>
      </c>
      <c r="S345" s="14">
        <f t="shared" si="32"/>
        <v>41926.73778935185</v>
      </c>
      <c r="T345" s="14">
        <f t="shared" si="33"/>
        <v>41957.125</v>
      </c>
      <c r="U345" s="64">
        <f t="shared" si="34"/>
        <v>30.387210648150358</v>
      </c>
      <c r="V345" s="13" t="str">
        <f t="shared" si="35"/>
        <v>funded</v>
      </c>
    </row>
    <row r="346" spans="1:22" ht="48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8307</v>
      </c>
      <c r="R346" t="s">
        <v>8312</v>
      </c>
      <c r="S346" s="14">
        <f t="shared" si="32"/>
        <v>42111.970995370371</v>
      </c>
      <c r="T346" s="14">
        <f t="shared" si="33"/>
        <v>42156.097222222219</v>
      </c>
      <c r="U346" s="64">
        <f t="shared" si="34"/>
        <v>44.126226851847605</v>
      </c>
      <c r="V346" s="13" t="str">
        <f t="shared" si="35"/>
        <v>funded</v>
      </c>
    </row>
    <row r="347" spans="1:22" ht="48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8307</v>
      </c>
      <c r="R347" t="s">
        <v>8312</v>
      </c>
      <c r="S347" s="14">
        <f t="shared" si="32"/>
        <v>42114.944328703699</v>
      </c>
      <c r="T347" s="14">
        <f t="shared" si="33"/>
        <v>42144.944328703699</v>
      </c>
      <c r="U347" s="64">
        <f t="shared" si="34"/>
        <v>30</v>
      </c>
      <c r="V347" s="13" t="str">
        <f t="shared" si="35"/>
        <v>funded</v>
      </c>
    </row>
    <row r="348" spans="1:22" ht="48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8307</v>
      </c>
      <c r="R348" t="s">
        <v>8312</v>
      </c>
      <c r="S348" s="14">
        <f t="shared" si="32"/>
        <v>42261.500243055561</v>
      </c>
      <c r="T348" s="14">
        <f t="shared" si="33"/>
        <v>42291.500243055561</v>
      </c>
      <c r="U348" s="64">
        <f t="shared" si="34"/>
        <v>30</v>
      </c>
      <c r="V348" s="13" t="str">
        <f t="shared" si="35"/>
        <v>funded</v>
      </c>
    </row>
    <row r="349" spans="1:22" ht="48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8307</v>
      </c>
      <c r="R349" t="s">
        <v>8312</v>
      </c>
      <c r="S349" s="14">
        <f t="shared" si="32"/>
        <v>42292.495474537034</v>
      </c>
      <c r="T349" s="14">
        <f t="shared" si="33"/>
        <v>42322.537141203706</v>
      </c>
      <c r="U349" s="64">
        <f t="shared" si="34"/>
        <v>30.041666666671517</v>
      </c>
      <c r="V349" s="13" t="str">
        <f t="shared" si="35"/>
        <v>funded</v>
      </c>
    </row>
    <row r="350" spans="1:22" ht="48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8307</v>
      </c>
      <c r="R350" t="s">
        <v>8312</v>
      </c>
      <c r="S350" s="14">
        <f t="shared" si="32"/>
        <v>42207.58699074074</v>
      </c>
      <c r="T350" s="14">
        <f t="shared" si="33"/>
        <v>42237.58699074074</v>
      </c>
      <c r="U350" s="64">
        <f t="shared" si="34"/>
        <v>30</v>
      </c>
      <c r="V350" s="13" t="str">
        <f t="shared" si="35"/>
        <v>funded</v>
      </c>
    </row>
    <row r="351" spans="1:22" ht="3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8307</v>
      </c>
      <c r="R351" t="s">
        <v>8312</v>
      </c>
      <c r="S351" s="14">
        <f t="shared" si="32"/>
        <v>42760.498935185184</v>
      </c>
      <c r="T351" s="14">
        <f t="shared" si="33"/>
        <v>42790.498935185184</v>
      </c>
      <c r="U351" s="64">
        <f t="shared" si="34"/>
        <v>30</v>
      </c>
      <c r="V351" s="13" t="str">
        <f t="shared" si="35"/>
        <v>funded</v>
      </c>
    </row>
    <row r="352" spans="1:22" ht="48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8307</v>
      </c>
      <c r="R352" t="s">
        <v>8312</v>
      </c>
      <c r="S352" s="14">
        <f t="shared" si="32"/>
        <v>42586.066076388888</v>
      </c>
      <c r="T352" s="14">
        <f t="shared" si="33"/>
        <v>42624.165972222225</v>
      </c>
      <c r="U352" s="64">
        <f t="shared" si="34"/>
        <v>38.099895833336632</v>
      </c>
      <c r="V352" s="13" t="str">
        <f t="shared" si="35"/>
        <v>funded</v>
      </c>
    </row>
    <row r="353" spans="1:22" ht="48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8307</v>
      </c>
      <c r="R353" t="s">
        <v>8312</v>
      </c>
      <c r="S353" s="14">
        <f t="shared" si="32"/>
        <v>42427.964745370366</v>
      </c>
      <c r="T353" s="14">
        <f t="shared" si="33"/>
        <v>42467.923078703709</v>
      </c>
      <c r="U353" s="64">
        <f t="shared" si="34"/>
        <v>39.958333333343035</v>
      </c>
      <c r="V353" s="13" t="str">
        <f t="shared" si="35"/>
        <v>funded</v>
      </c>
    </row>
    <row r="354" spans="1:22" ht="48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8307</v>
      </c>
      <c r="R354" t="s">
        <v>8312</v>
      </c>
      <c r="S354" s="14">
        <f t="shared" si="32"/>
        <v>41890.167453703703</v>
      </c>
      <c r="T354" s="14">
        <f t="shared" si="33"/>
        <v>41920.167453703703</v>
      </c>
      <c r="U354" s="64">
        <f t="shared" si="34"/>
        <v>30</v>
      </c>
      <c r="V354" s="13" t="str">
        <f t="shared" si="35"/>
        <v>funded</v>
      </c>
    </row>
    <row r="355" spans="1:22" ht="48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8307</v>
      </c>
      <c r="R355" t="s">
        <v>8312</v>
      </c>
      <c r="S355" s="14">
        <f t="shared" si="32"/>
        <v>42297.791886574079</v>
      </c>
      <c r="T355" s="14">
        <f t="shared" si="33"/>
        <v>42327.833553240736</v>
      </c>
      <c r="U355" s="64">
        <f t="shared" si="34"/>
        <v>30.041666666656965</v>
      </c>
      <c r="V355" s="13" t="str">
        <f t="shared" si="35"/>
        <v>funded</v>
      </c>
    </row>
    <row r="356" spans="1:22" ht="48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8307</v>
      </c>
      <c r="R356" t="s">
        <v>8312</v>
      </c>
      <c r="S356" s="14">
        <f t="shared" si="32"/>
        <v>42438.827789351853</v>
      </c>
      <c r="T356" s="14">
        <f t="shared" si="33"/>
        <v>42468.786122685182</v>
      </c>
      <c r="U356" s="64">
        <f t="shared" si="34"/>
        <v>29.958333333328483</v>
      </c>
      <c r="V356" s="13" t="str">
        <f t="shared" si="35"/>
        <v>funded</v>
      </c>
    </row>
    <row r="357" spans="1:22" ht="3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8307</v>
      </c>
      <c r="R357" t="s">
        <v>8312</v>
      </c>
      <c r="S357" s="14">
        <f t="shared" si="32"/>
        <v>41943.293912037036</v>
      </c>
      <c r="T357" s="14">
        <f t="shared" si="33"/>
        <v>41974.3355787037</v>
      </c>
      <c r="U357" s="64">
        <f t="shared" si="34"/>
        <v>31.041666666664241</v>
      </c>
      <c r="V357" s="13" t="str">
        <f t="shared" si="35"/>
        <v>funded</v>
      </c>
    </row>
    <row r="358" spans="1:22" ht="3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8307</v>
      </c>
      <c r="R358" t="s">
        <v>8312</v>
      </c>
      <c r="S358" s="14">
        <f t="shared" si="32"/>
        <v>42415.803159722222</v>
      </c>
      <c r="T358" s="14">
        <f t="shared" si="33"/>
        <v>42445.761493055557</v>
      </c>
      <c r="U358" s="64">
        <f t="shared" si="34"/>
        <v>29.958333333335759</v>
      </c>
      <c r="V358" s="13" t="str">
        <f t="shared" si="35"/>
        <v>funded</v>
      </c>
    </row>
    <row r="359" spans="1:22" ht="48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8307</v>
      </c>
      <c r="R359" t="s">
        <v>8312</v>
      </c>
      <c r="S359" s="14">
        <f t="shared" si="32"/>
        <v>42078.222187499996</v>
      </c>
      <c r="T359" s="14">
        <f t="shared" si="33"/>
        <v>42118.222187499996</v>
      </c>
      <c r="U359" s="64">
        <f t="shared" si="34"/>
        <v>40</v>
      </c>
      <c r="V359" s="13" t="str">
        <f t="shared" si="35"/>
        <v>funded</v>
      </c>
    </row>
    <row r="360" spans="1:22" ht="48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8307</v>
      </c>
      <c r="R360" t="s">
        <v>8312</v>
      </c>
      <c r="S360" s="14">
        <f t="shared" si="32"/>
        <v>42507.860196759255</v>
      </c>
      <c r="T360" s="14">
        <f t="shared" si="33"/>
        <v>42536.625</v>
      </c>
      <c r="U360" s="64">
        <f t="shared" si="34"/>
        <v>28.764803240745096</v>
      </c>
      <c r="V360" s="13" t="str">
        <f t="shared" si="35"/>
        <v>funded</v>
      </c>
    </row>
    <row r="361" spans="1:22" ht="48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8307</v>
      </c>
      <c r="R361" t="s">
        <v>8312</v>
      </c>
      <c r="S361" s="14">
        <f t="shared" si="32"/>
        <v>41935.070486111108</v>
      </c>
      <c r="T361" s="14">
        <f t="shared" si="33"/>
        <v>41957.216666666667</v>
      </c>
      <c r="U361" s="64">
        <f t="shared" si="34"/>
        <v>22.146180555559113</v>
      </c>
      <c r="V361" s="13" t="str">
        <f t="shared" si="35"/>
        <v>funded</v>
      </c>
    </row>
    <row r="362" spans="1:22" ht="48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8307</v>
      </c>
      <c r="R362" t="s">
        <v>8312</v>
      </c>
      <c r="S362" s="14">
        <f t="shared" si="32"/>
        <v>42163.897916666669</v>
      </c>
      <c r="T362" s="14">
        <f t="shared" si="33"/>
        <v>42208.132638888885</v>
      </c>
      <c r="U362" s="64">
        <f t="shared" si="34"/>
        <v>44.234722222216078</v>
      </c>
      <c r="V362" s="13" t="str">
        <f t="shared" si="35"/>
        <v>funded</v>
      </c>
    </row>
    <row r="363" spans="1:22" ht="48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8307</v>
      </c>
      <c r="R363" t="s">
        <v>8312</v>
      </c>
      <c r="S363" s="14">
        <f t="shared" si="32"/>
        <v>41936.001226851848</v>
      </c>
      <c r="T363" s="14">
        <f t="shared" si="33"/>
        <v>41966.042893518519</v>
      </c>
      <c r="U363" s="64">
        <f t="shared" si="34"/>
        <v>30.041666666671517</v>
      </c>
      <c r="V363" s="13" t="str">
        <f t="shared" si="35"/>
        <v>funded</v>
      </c>
    </row>
    <row r="364" spans="1:22" ht="48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8307</v>
      </c>
      <c r="R364" t="s">
        <v>8312</v>
      </c>
      <c r="S364" s="14">
        <f t="shared" si="32"/>
        <v>41837.210543981484</v>
      </c>
      <c r="T364" s="14">
        <f t="shared" si="33"/>
        <v>41859</v>
      </c>
      <c r="U364" s="64">
        <f t="shared" si="34"/>
        <v>21.789456018515921</v>
      </c>
      <c r="V364" s="13" t="str">
        <f t="shared" si="35"/>
        <v>funded</v>
      </c>
    </row>
    <row r="365" spans="1:22" ht="48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8307</v>
      </c>
      <c r="R365" t="s">
        <v>8312</v>
      </c>
      <c r="S365" s="14">
        <f t="shared" si="32"/>
        <v>40255.744629629626</v>
      </c>
      <c r="T365" s="14">
        <f t="shared" si="33"/>
        <v>40300.806944444441</v>
      </c>
      <c r="U365" s="64">
        <f t="shared" si="34"/>
        <v>45.062314814815181</v>
      </c>
      <c r="V365" s="13" t="str">
        <f t="shared" si="35"/>
        <v>funded</v>
      </c>
    </row>
    <row r="366" spans="1:22" ht="48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8307</v>
      </c>
      <c r="R366" t="s">
        <v>8312</v>
      </c>
      <c r="S366" s="14">
        <f t="shared" si="32"/>
        <v>41780.859629629631</v>
      </c>
      <c r="T366" s="14">
        <f t="shared" si="33"/>
        <v>41811.165972222225</v>
      </c>
      <c r="U366" s="64">
        <f t="shared" si="34"/>
        <v>30.306342592593865</v>
      </c>
      <c r="V366" s="13" t="str">
        <f t="shared" si="35"/>
        <v>funded</v>
      </c>
    </row>
    <row r="367" spans="1:22" ht="48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8307</v>
      </c>
      <c r="R367" t="s">
        <v>8312</v>
      </c>
      <c r="S367" s="14">
        <f t="shared" si="32"/>
        <v>41668.606469907405</v>
      </c>
      <c r="T367" s="14">
        <f t="shared" si="33"/>
        <v>41698.606469907405</v>
      </c>
      <c r="U367" s="64">
        <f t="shared" si="34"/>
        <v>30</v>
      </c>
      <c r="V367" s="13" t="str">
        <f t="shared" si="35"/>
        <v>funded</v>
      </c>
    </row>
    <row r="368" spans="1:22" ht="48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8307</v>
      </c>
      <c r="R368" t="s">
        <v>8312</v>
      </c>
      <c r="S368" s="14">
        <f t="shared" si="32"/>
        <v>41019.793032407404</v>
      </c>
      <c r="T368" s="14">
        <f t="shared" si="33"/>
        <v>41049.793032407404</v>
      </c>
      <c r="U368" s="64">
        <f t="shared" si="34"/>
        <v>30</v>
      </c>
      <c r="V368" s="13" t="str">
        <f t="shared" si="35"/>
        <v>funded</v>
      </c>
    </row>
    <row r="369" spans="1:22" ht="48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8307</v>
      </c>
      <c r="R369" t="s">
        <v>8312</v>
      </c>
      <c r="S369" s="14">
        <f t="shared" si="32"/>
        <v>41355.577291666668</v>
      </c>
      <c r="T369" s="14">
        <f t="shared" si="33"/>
        <v>41395.207638888889</v>
      </c>
      <c r="U369" s="64">
        <f t="shared" si="34"/>
        <v>39.630347222220735</v>
      </c>
      <c r="V369" s="13" t="str">
        <f t="shared" si="35"/>
        <v>funded</v>
      </c>
    </row>
    <row r="370" spans="1:22" ht="48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8307</v>
      </c>
      <c r="R370" t="s">
        <v>8312</v>
      </c>
      <c r="S370" s="14">
        <f t="shared" si="32"/>
        <v>42043.605578703704</v>
      </c>
      <c r="T370" s="14">
        <f t="shared" si="33"/>
        <v>42078.563912037032</v>
      </c>
      <c r="U370" s="64">
        <f t="shared" si="34"/>
        <v>34.958333333328483</v>
      </c>
      <c r="V370" s="13" t="str">
        <f t="shared" si="35"/>
        <v>funded</v>
      </c>
    </row>
    <row r="371" spans="1:22" ht="48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8307</v>
      </c>
      <c r="R371" t="s">
        <v>8312</v>
      </c>
      <c r="S371" s="14">
        <f t="shared" si="32"/>
        <v>40893.551724537036</v>
      </c>
      <c r="T371" s="14">
        <f t="shared" si="33"/>
        <v>40923.551724537036</v>
      </c>
      <c r="U371" s="64">
        <f t="shared" si="34"/>
        <v>30</v>
      </c>
      <c r="V371" s="13" t="str">
        <f t="shared" si="35"/>
        <v>funded</v>
      </c>
    </row>
    <row r="372" spans="1:22" ht="48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8307</v>
      </c>
      <c r="R372" t="s">
        <v>8312</v>
      </c>
      <c r="S372" s="14">
        <f t="shared" si="32"/>
        <v>42711.795138888891</v>
      </c>
      <c r="T372" s="14">
        <f t="shared" si="33"/>
        <v>42741.795138888891</v>
      </c>
      <c r="U372" s="64">
        <f t="shared" si="34"/>
        <v>30</v>
      </c>
      <c r="V372" s="13" t="str">
        <f t="shared" si="35"/>
        <v>funded</v>
      </c>
    </row>
    <row r="373" spans="1:22" ht="48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8307</v>
      </c>
      <c r="R373" t="s">
        <v>8312</v>
      </c>
      <c r="S373" s="14">
        <f t="shared" si="32"/>
        <v>41261.767812500002</v>
      </c>
      <c r="T373" s="14">
        <f t="shared" si="33"/>
        <v>41306.767812500002</v>
      </c>
      <c r="U373" s="64">
        <f t="shared" si="34"/>
        <v>45</v>
      </c>
      <c r="V373" s="13" t="str">
        <f t="shared" si="35"/>
        <v>funded</v>
      </c>
    </row>
    <row r="374" spans="1:22" ht="3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8307</v>
      </c>
      <c r="R374" t="s">
        <v>8312</v>
      </c>
      <c r="S374" s="14">
        <f t="shared" si="32"/>
        <v>42425.576898148152</v>
      </c>
      <c r="T374" s="14">
        <f t="shared" si="33"/>
        <v>42465.666666666672</v>
      </c>
      <c r="U374" s="64">
        <f t="shared" si="34"/>
        <v>40.089768518519122</v>
      </c>
      <c r="V374" s="13" t="str">
        <f t="shared" si="35"/>
        <v>funded</v>
      </c>
    </row>
    <row r="375" spans="1:22" ht="48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8307</v>
      </c>
      <c r="R375" t="s">
        <v>8312</v>
      </c>
      <c r="S375" s="14">
        <f t="shared" si="32"/>
        <v>41078.91201388889</v>
      </c>
      <c r="T375" s="14">
        <f t="shared" si="33"/>
        <v>41108.91201388889</v>
      </c>
      <c r="U375" s="64">
        <f t="shared" si="34"/>
        <v>30</v>
      </c>
      <c r="V375" s="13" t="str">
        <f t="shared" si="35"/>
        <v>funded</v>
      </c>
    </row>
    <row r="376" spans="1:22" ht="48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8307</v>
      </c>
      <c r="R376" t="s">
        <v>8312</v>
      </c>
      <c r="S376" s="14">
        <f t="shared" si="32"/>
        <v>40757.889247685183</v>
      </c>
      <c r="T376" s="14">
        <f t="shared" si="33"/>
        <v>40802.889247685183</v>
      </c>
      <c r="U376" s="64">
        <f t="shared" si="34"/>
        <v>45</v>
      </c>
      <c r="V376" s="13" t="str">
        <f t="shared" si="35"/>
        <v>funded</v>
      </c>
    </row>
    <row r="377" spans="1:22" ht="48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8307</v>
      </c>
      <c r="R377" t="s">
        <v>8312</v>
      </c>
      <c r="S377" s="14">
        <f t="shared" si="32"/>
        <v>41657.985081018516</v>
      </c>
      <c r="T377" s="14">
        <f t="shared" si="33"/>
        <v>41699.720833333333</v>
      </c>
      <c r="U377" s="64">
        <f t="shared" si="34"/>
        <v>41.735752314816636</v>
      </c>
      <c r="V377" s="13" t="str">
        <f t="shared" si="35"/>
        <v>funded</v>
      </c>
    </row>
    <row r="378" spans="1:22" ht="48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8307</v>
      </c>
      <c r="R378" t="s">
        <v>8312</v>
      </c>
      <c r="S378" s="14">
        <f t="shared" si="32"/>
        <v>42576.452731481477</v>
      </c>
      <c r="T378" s="14">
        <f t="shared" si="33"/>
        <v>42607.452731481477</v>
      </c>
      <c r="U378" s="64">
        <f t="shared" si="34"/>
        <v>31</v>
      </c>
      <c r="V378" s="13" t="str">
        <f t="shared" si="35"/>
        <v>funded</v>
      </c>
    </row>
    <row r="379" spans="1:22" ht="48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8307</v>
      </c>
      <c r="R379" t="s">
        <v>8312</v>
      </c>
      <c r="S379" s="14">
        <f t="shared" si="32"/>
        <v>42292.250787037032</v>
      </c>
      <c r="T379" s="14">
        <f t="shared" si="33"/>
        <v>42322.292361111111</v>
      </c>
      <c r="U379" s="64">
        <f t="shared" si="34"/>
        <v>30.041574074079108</v>
      </c>
      <c r="V379" s="13" t="str">
        <f t="shared" si="35"/>
        <v>funded</v>
      </c>
    </row>
    <row r="380" spans="1:22" ht="48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8307</v>
      </c>
      <c r="R380" t="s">
        <v>8312</v>
      </c>
      <c r="S380" s="14">
        <f t="shared" si="32"/>
        <v>42370.571851851855</v>
      </c>
      <c r="T380" s="14">
        <f t="shared" si="33"/>
        <v>42394.994444444441</v>
      </c>
      <c r="U380" s="64">
        <f t="shared" si="34"/>
        <v>24.422592592585715</v>
      </c>
      <c r="V380" s="13" t="str">
        <f t="shared" si="35"/>
        <v>funded</v>
      </c>
    </row>
    <row r="381" spans="1:22" ht="48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8307</v>
      </c>
      <c r="R381" t="s">
        <v>8312</v>
      </c>
      <c r="S381" s="14">
        <f t="shared" si="32"/>
        <v>40987.688333333332</v>
      </c>
      <c r="T381" s="14">
        <f t="shared" si="33"/>
        <v>41032.688333333332</v>
      </c>
      <c r="U381" s="64">
        <f t="shared" si="34"/>
        <v>45</v>
      </c>
      <c r="V381" s="13" t="str">
        <f t="shared" si="35"/>
        <v>funded</v>
      </c>
    </row>
    <row r="382" spans="1:22" ht="48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8307</v>
      </c>
      <c r="R382" t="s">
        <v>8312</v>
      </c>
      <c r="S382" s="14">
        <f t="shared" si="32"/>
        <v>42367.719814814816</v>
      </c>
      <c r="T382" s="14">
        <f t="shared" si="33"/>
        <v>42392.719814814816</v>
      </c>
      <c r="U382" s="64">
        <f t="shared" si="34"/>
        <v>25</v>
      </c>
      <c r="V382" s="13" t="str">
        <f t="shared" si="35"/>
        <v>funded</v>
      </c>
    </row>
    <row r="383" spans="1:22" ht="48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8307</v>
      </c>
      <c r="R383" t="s">
        <v>8312</v>
      </c>
      <c r="S383" s="14">
        <f t="shared" si="32"/>
        <v>41085.698113425926</v>
      </c>
      <c r="T383" s="14">
        <f t="shared" si="33"/>
        <v>41120.208333333336</v>
      </c>
      <c r="U383" s="64">
        <f t="shared" si="34"/>
        <v>34.510219907409919</v>
      </c>
      <c r="V383" s="13" t="str">
        <f t="shared" si="35"/>
        <v>funded</v>
      </c>
    </row>
    <row r="384" spans="1:22" ht="48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8307</v>
      </c>
      <c r="R384" t="s">
        <v>8312</v>
      </c>
      <c r="S384" s="14">
        <f t="shared" si="32"/>
        <v>41144.709490740745</v>
      </c>
      <c r="T384" s="14">
        <f t="shared" si="33"/>
        <v>41158.709490740745</v>
      </c>
      <c r="U384" s="64">
        <f t="shared" si="34"/>
        <v>14</v>
      </c>
      <c r="V384" s="13" t="str">
        <f t="shared" si="35"/>
        <v>funded</v>
      </c>
    </row>
    <row r="385" spans="1:22" ht="48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8307</v>
      </c>
      <c r="R385" t="s">
        <v>8312</v>
      </c>
      <c r="S385" s="14">
        <f t="shared" si="32"/>
        <v>41755.117581018516</v>
      </c>
      <c r="T385" s="14">
        <f t="shared" si="33"/>
        <v>41778.117581018516</v>
      </c>
      <c r="U385" s="64">
        <f t="shared" si="34"/>
        <v>23</v>
      </c>
      <c r="V385" s="13" t="str">
        <f t="shared" si="35"/>
        <v>funded</v>
      </c>
    </row>
    <row r="386" spans="1:22" ht="48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10" t="s">
        <v>8307</v>
      </c>
      <c r="R386" t="s">
        <v>8312</v>
      </c>
      <c r="S386" s="14">
        <f t="shared" si="32"/>
        <v>41980.781793981485</v>
      </c>
      <c r="T386" s="14">
        <f t="shared" si="33"/>
        <v>42010.781793981485</v>
      </c>
      <c r="U386" s="64">
        <f t="shared" si="34"/>
        <v>30</v>
      </c>
      <c r="V386" s="13" t="str">
        <f t="shared" si="35"/>
        <v>funded</v>
      </c>
    </row>
    <row r="387" spans="1:22" ht="48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ROUND(E387/D387*100,0)</f>
        <v>106</v>
      </c>
      <c r="P387">
        <f t="shared" ref="P387:P450" si="37">IFERROR(ROUND(E387/L387,2), 0)</f>
        <v>111.8</v>
      </c>
      <c r="Q387" s="10" t="s">
        <v>8307</v>
      </c>
      <c r="R387" t="s">
        <v>8312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 s="64">
        <f t="shared" ref="U387:V450" si="40">T387-S387</f>
        <v>30.041666666671517</v>
      </c>
      <c r="V387" s="13" t="str">
        <f t="shared" ref="V387:V450" si="41">IF(E387&gt;=D387, "funded", "underfunded")</f>
        <v>funded</v>
      </c>
    </row>
    <row r="388" spans="1:22" ht="48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8307</v>
      </c>
      <c r="R388" t="s">
        <v>8312</v>
      </c>
      <c r="S388" s="14">
        <f t="shared" si="38"/>
        <v>42211.951284722221</v>
      </c>
      <c r="T388" s="14">
        <f t="shared" si="39"/>
        <v>42226.951284722221</v>
      </c>
      <c r="U388" s="64">
        <f t="shared" si="40"/>
        <v>15</v>
      </c>
      <c r="V388" s="13" t="str">
        <f t="shared" si="41"/>
        <v>funded</v>
      </c>
    </row>
    <row r="389" spans="1:22" ht="48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8307</v>
      </c>
      <c r="R389" t="s">
        <v>8312</v>
      </c>
      <c r="S389" s="14">
        <f t="shared" si="38"/>
        <v>42200.67659722222</v>
      </c>
      <c r="T389" s="14">
        <f t="shared" si="39"/>
        <v>42231.25</v>
      </c>
      <c r="U389" s="64">
        <f t="shared" si="40"/>
        <v>30.573402777779847</v>
      </c>
      <c r="V389" s="13" t="str">
        <f t="shared" si="41"/>
        <v>funded</v>
      </c>
    </row>
    <row r="390" spans="1:22" ht="48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8307</v>
      </c>
      <c r="R390" t="s">
        <v>8312</v>
      </c>
      <c r="S390" s="14">
        <f t="shared" si="38"/>
        <v>42549.076157407413</v>
      </c>
      <c r="T390" s="14">
        <f t="shared" si="39"/>
        <v>42579.076157407413</v>
      </c>
      <c r="U390" s="64">
        <f t="shared" si="40"/>
        <v>30</v>
      </c>
      <c r="V390" s="13" t="str">
        <f t="shared" si="41"/>
        <v>funded</v>
      </c>
    </row>
    <row r="391" spans="1:22" ht="48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8307</v>
      </c>
      <c r="R391" t="s">
        <v>8312</v>
      </c>
      <c r="S391" s="14">
        <f t="shared" si="38"/>
        <v>41674.063078703701</v>
      </c>
      <c r="T391" s="14">
        <f t="shared" si="39"/>
        <v>41705.957638888889</v>
      </c>
      <c r="U391" s="64">
        <f t="shared" si="40"/>
        <v>31.894560185188311</v>
      </c>
      <c r="V391" s="13" t="str">
        <f t="shared" si="41"/>
        <v>funded</v>
      </c>
    </row>
    <row r="392" spans="1:22" ht="48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8307</v>
      </c>
      <c r="R392" t="s">
        <v>8312</v>
      </c>
      <c r="S392" s="14">
        <f t="shared" si="38"/>
        <v>42112.036712962959</v>
      </c>
      <c r="T392" s="14">
        <f t="shared" si="39"/>
        <v>42132.036712962959</v>
      </c>
      <c r="U392" s="64">
        <f t="shared" si="40"/>
        <v>20</v>
      </c>
      <c r="V392" s="13" t="str">
        <f t="shared" si="41"/>
        <v>funded</v>
      </c>
    </row>
    <row r="393" spans="1:22" ht="48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8307</v>
      </c>
      <c r="R393" t="s">
        <v>8312</v>
      </c>
      <c r="S393" s="14">
        <f t="shared" si="38"/>
        <v>40865.042256944449</v>
      </c>
      <c r="T393" s="14">
        <f t="shared" si="39"/>
        <v>40895.040972222225</v>
      </c>
      <c r="U393" s="64">
        <f t="shared" si="40"/>
        <v>29.998715277775773</v>
      </c>
      <c r="V393" s="13" t="str">
        <f t="shared" si="41"/>
        <v>funded</v>
      </c>
    </row>
    <row r="394" spans="1:22" ht="48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8307</v>
      </c>
      <c r="R394" t="s">
        <v>8312</v>
      </c>
      <c r="S394" s="14">
        <f t="shared" si="38"/>
        <v>40763.717256944445</v>
      </c>
      <c r="T394" s="14">
        <f t="shared" si="39"/>
        <v>40794.125</v>
      </c>
      <c r="U394" s="64">
        <f t="shared" si="40"/>
        <v>30.407743055555329</v>
      </c>
      <c r="V394" s="13" t="str">
        <f t="shared" si="41"/>
        <v>funded</v>
      </c>
    </row>
    <row r="395" spans="1:22" ht="3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8307</v>
      </c>
      <c r="R395" t="s">
        <v>8312</v>
      </c>
      <c r="S395" s="14">
        <f t="shared" si="38"/>
        <v>41526.708935185183</v>
      </c>
      <c r="T395" s="14">
        <f t="shared" si="39"/>
        <v>41557.708935185183</v>
      </c>
      <c r="U395" s="64">
        <f t="shared" si="40"/>
        <v>31</v>
      </c>
      <c r="V395" s="13" t="str">
        <f t="shared" si="41"/>
        <v>funded</v>
      </c>
    </row>
    <row r="396" spans="1:22" ht="48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8307</v>
      </c>
      <c r="R396" t="s">
        <v>8312</v>
      </c>
      <c r="S396" s="14">
        <f t="shared" si="38"/>
        <v>42417.818078703705</v>
      </c>
      <c r="T396" s="14">
        <f t="shared" si="39"/>
        <v>42477.776412037041</v>
      </c>
      <c r="U396" s="64">
        <f t="shared" si="40"/>
        <v>59.958333333335759</v>
      </c>
      <c r="V396" s="13" t="str">
        <f t="shared" si="41"/>
        <v>funded</v>
      </c>
    </row>
    <row r="397" spans="1:22" ht="48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8307</v>
      </c>
      <c r="R397" t="s">
        <v>8312</v>
      </c>
      <c r="S397" s="14">
        <f t="shared" si="38"/>
        <v>40990.909259259257</v>
      </c>
      <c r="T397" s="14">
        <f t="shared" si="39"/>
        <v>41026.897222222222</v>
      </c>
      <c r="U397" s="64">
        <f t="shared" si="40"/>
        <v>35.987962962964957</v>
      </c>
      <c r="V397" s="13" t="str">
        <f t="shared" si="41"/>
        <v>funded</v>
      </c>
    </row>
    <row r="398" spans="1:22" ht="48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8307</v>
      </c>
      <c r="R398" t="s">
        <v>8312</v>
      </c>
      <c r="S398" s="14">
        <f t="shared" si="38"/>
        <v>41082.564884259256</v>
      </c>
      <c r="T398" s="14">
        <f t="shared" si="39"/>
        <v>41097.564884259256</v>
      </c>
      <c r="U398" s="64">
        <f t="shared" si="40"/>
        <v>15</v>
      </c>
      <c r="V398" s="13" t="str">
        <f t="shared" si="41"/>
        <v>funded</v>
      </c>
    </row>
    <row r="399" spans="1:22" ht="6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8307</v>
      </c>
      <c r="R399" t="s">
        <v>8312</v>
      </c>
      <c r="S399" s="14">
        <f t="shared" si="38"/>
        <v>40379.776435185187</v>
      </c>
      <c r="T399" s="14">
        <f t="shared" si="39"/>
        <v>40422.155555555553</v>
      </c>
      <c r="U399" s="64">
        <f t="shared" si="40"/>
        <v>42.379120370365854</v>
      </c>
      <c r="V399" s="13" t="str">
        <f t="shared" si="41"/>
        <v>funded</v>
      </c>
    </row>
    <row r="400" spans="1:22" ht="48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8307</v>
      </c>
      <c r="R400" t="s">
        <v>8312</v>
      </c>
      <c r="S400" s="14">
        <f t="shared" si="38"/>
        <v>42078.793124999997</v>
      </c>
      <c r="T400" s="14">
        <f t="shared" si="39"/>
        <v>42123.793124999997</v>
      </c>
      <c r="U400" s="64">
        <f t="shared" si="40"/>
        <v>45</v>
      </c>
      <c r="V400" s="13" t="str">
        <f t="shared" si="41"/>
        <v>funded</v>
      </c>
    </row>
    <row r="401" spans="1:22" ht="48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8307</v>
      </c>
      <c r="R401" t="s">
        <v>8312</v>
      </c>
      <c r="S401" s="14">
        <f t="shared" si="38"/>
        <v>42687.875775462962</v>
      </c>
      <c r="T401" s="14">
        <f t="shared" si="39"/>
        <v>42718.5</v>
      </c>
      <c r="U401" s="64">
        <f t="shared" si="40"/>
        <v>30.624224537037662</v>
      </c>
      <c r="V401" s="13" t="str">
        <f t="shared" si="41"/>
        <v>funded</v>
      </c>
    </row>
    <row r="402" spans="1:22" ht="48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8307</v>
      </c>
      <c r="R402" t="s">
        <v>8312</v>
      </c>
      <c r="S402" s="14">
        <f t="shared" si="38"/>
        <v>41745.635960648149</v>
      </c>
      <c r="T402" s="14">
        <f t="shared" si="39"/>
        <v>41776.145833333336</v>
      </c>
      <c r="U402" s="64">
        <f t="shared" si="40"/>
        <v>30.509872685186565</v>
      </c>
      <c r="V402" s="13" t="str">
        <f t="shared" si="41"/>
        <v>funded</v>
      </c>
    </row>
    <row r="403" spans="1:22" ht="48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8307</v>
      </c>
      <c r="R403" t="s">
        <v>8312</v>
      </c>
      <c r="S403" s="14">
        <f t="shared" si="38"/>
        <v>40732.842245370368</v>
      </c>
      <c r="T403" s="14">
        <f t="shared" si="39"/>
        <v>40762.842245370368</v>
      </c>
      <c r="U403" s="64">
        <f t="shared" si="40"/>
        <v>30</v>
      </c>
      <c r="V403" s="13" t="str">
        <f t="shared" si="41"/>
        <v>funded</v>
      </c>
    </row>
    <row r="404" spans="1:22" ht="48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8307</v>
      </c>
      <c r="R404" t="s">
        <v>8312</v>
      </c>
      <c r="S404" s="14">
        <f t="shared" si="38"/>
        <v>42292.539548611108</v>
      </c>
      <c r="T404" s="14">
        <f t="shared" si="39"/>
        <v>42313.58121527778</v>
      </c>
      <c r="U404" s="64">
        <f t="shared" si="40"/>
        <v>21.041666666671517</v>
      </c>
      <c r="V404" s="13" t="str">
        <f t="shared" si="41"/>
        <v>funded</v>
      </c>
    </row>
    <row r="405" spans="1:22" ht="48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8307</v>
      </c>
      <c r="R405" t="s">
        <v>8312</v>
      </c>
      <c r="S405" s="14">
        <f t="shared" si="38"/>
        <v>40718.310659722221</v>
      </c>
      <c r="T405" s="14">
        <f t="shared" si="39"/>
        <v>40765.297222222223</v>
      </c>
      <c r="U405" s="64">
        <f t="shared" si="40"/>
        <v>46.986562500002037</v>
      </c>
      <c r="V405" s="13" t="str">
        <f t="shared" si="41"/>
        <v>funded</v>
      </c>
    </row>
    <row r="406" spans="1:22" ht="48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8307</v>
      </c>
      <c r="R406" t="s">
        <v>8312</v>
      </c>
      <c r="S406" s="14">
        <f t="shared" si="38"/>
        <v>41646.628032407411</v>
      </c>
      <c r="T406" s="14">
        <f t="shared" si="39"/>
        <v>41675.961111111108</v>
      </c>
      <c r="U406" s="64">
        <f t="shared" si="40"/>
        <v>29.333078703697538</v>
      </c>
      <c r="V406" s="13" t="str">
        <f t="shared" si="41"/>
        <v>funded</v>
      </c>
    </row>
    <row r="407" spans="1:22" ht="3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8307</v>
      </c>
      <c r="R407" t="s">
        <v>8312</v>
      </c>
      <c r="S407" s="14">
        <f t="shared" si="38"/>
        <v>41674.08494212963</v>
      </c>
      <c r="T407" s="14">
        <f t="shared" si="39"/>
        <v>41704.08494212963</v>
      </c>
      <c r="U407" s="64">
        <f t="shared" si="40"/>
        <v>30</v>
      </c>
      <c r="V407" s="13" t="str">
        <f t="shared" si="41"/>
        <v>funded</v>
      </c>
    </row>
    <row r="408" spans="1:22" ht="48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8307</v>
      </c>
      <c r="R408" t="s">
        <v>8312</v>
      </c>
      <c r="S408" s="14">
        <f t="shared" si="38"/>
        <v>40638.162465277775</v>
      </c>
      <c r="T408" s="14">
        <f t="shared" si="39"/>
        <v>40672.249305555553</v>
      </c>
      <c r="U408" s="64">
        <f t="shared" si="40"/>
        <v>34.08684027777781</v>
      </c>
      <c r="V408" s="13" t="str">
        <f t="shared" si="41"/>
        <v>funded</v>
      </c>
    </row>
    <row r="409" spans="1:22" ht="48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8307</v>
      </c>
      <c r="R409" t="s">
        <v>8312</v>
      </c>
      <c r="S409" s="14">
        <f t="shared" si="38"/>
        <v>40806.870949074073</v>
      </c>
      <c r="T409" s="14">
        <f t="shared" si="39"/>
        <v>40866.912615740745</v>
      </c>
      <c r="U409" s="64">
        <f t="shared" si="40"/>
        <v>60.041666666671517</v>
      </c>
      <c r="V409" s="13" t="str">
        <f t="shared" si="41"/>
        <v>funded</v>
      </c>
    </row>
    <row r="410" spans="1:22" ht="48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8307</v>
      </c>
      <c r="R410" t="s">
        <v>8312</v>
      </c>
      <c r="S410" s="14">
        <f t="shared" si="38"/>
        <v>41543.735995370371</v>
      </c>
      <c r="T410" s="14">
        <f t="shared" si="39"/>
        <v>41583.777662037035</v>
      </c>
      <c r="U410" s="64">
        <f t="shared" si="40"/>
        <v>40.041666666664241</v>
      </c>
      <c r="V410" s="13" t="str">
        <f t="shared" si="41"/>
        <v>funded</v>
      </c>
    </row>
    <row r="411" spans="1:22" ht="48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8307</v>
      </c>
      <c r="R411" t="s">
        <v>8312</v>
      </c>
      <c r="S411" s="14">
        <f t="shared" si="38"/>
        <v>42543.862777777773</v>
      </c>
      <c r="T411" s="14">
        <f t="shared" si="39"/>
        <v>42573.862777777773</v>
      </c>
      <c r="U411" s="64">
        <f t="shared" si="40"/>
        <v>30</v>
      </c>
      <c r="V411" s="13" t="str">
        <f t="shared" si="41"/>
        <v>funded</v>
      </c>
    </row>
    <row r="412" spans="1:22" ht="48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8307</v>
      </c>
      <c r="R412" t="s">
        <v>8312</v>
      </c>
      <c r="S412" s="14">
        <f t="shared" si="38"/>
        <v>42113.981446759266</v>
      </c>
      <c r="T412" s="14">
        <f t="shared" si="39"/>
        <v>42173.981446759266</v>
      </c>
      <c r="U412" s="64">
        <f t="shared" si="40"/>
        <v>60</v>
      </c>
      <c r="V412" s="13" t="str">
        <f t="shared" si="41"/>
        <v>funded</v>
      </c>
    </row>
    <row r="413" spans="1:22" ht="48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8307</v>
      </c>
      <c r="R413" t="s">
        <v>8312</v>
      </c>
      <c r="S413" s="14">
        <f t="shared" si="38"/>
        <v>41598.17597222222</v>
      </c>
      <c r="T413" s="14">
        <f t="shared" si="39"/>
        <v>41630.208333333336</v>
      </c>
      <c r="U413" s="64">
        <f t="shared" si="40"/>
        <v>32.032361111116188</v>
      </c>
      <c r="V413" s="13" t="str">
        <f t="shared" si="41"/>
        <v>funded</v>
      </c>
    </row>
    <row r="414" spans="1:22" ht="48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8307</v>
      </c>
      <c r="R414" t="s">
        <v>8312</v>
      </c>
      <c r="S414" s="14">
        <f t="shared" si="38"/>
        <v>41099.742800925924</v>
      </c>
      <c r="T414" s="14">
        <f t="shared" si="39"/>
        <v>41115.742800925924</v>
      </c>
      <c r="U414" s="64">
        <f t="shared" si="40"/>
        <v>16</v>
      </c>
      <c r="V414" s="13" t="str">
        <f t="shared" si="41"/>
        <v>funded</v>
      </c>
    </row>
    <row r="415" spans="1:22" ht="48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8307</v>
      </c>
      <c r="R415" t="s">
        <v>8312</v>
      </c>
      <c r="S415" s="14">
        <f t="shared" si="38"/>
        <v>41079.877442129626</v>
      </c>
      <c r="T415" s="14">
        <f t="shared" si="39"/>
        <v>41109.877442129626</v>
      </c>
      <c r="U415" s="64">
        <f t="shared" si="40"/>
        <v>30</v>
      </c>
      <c r="V415" s="13" t="str">
        <f t="shared" si="41"/>
        <v>funded</v>
      </c>
    </row>
    <row r="416" spans="1:22" ht="48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8307</v>
      </c>
      <c r="R416" t="s">
        <v>8312</v>
      </c>
      <c r="S416" s="14">
        <f t="shared" si="38"/>
        <v>41529.063252314816</v>
      </c>
      <c r="T416" s="14">
        <f t="shared" si="39"/>
        <v>41559.063252314816</v>
      </c>
      <c r="U416" s="64">
        <f t="shared" si="40"/>
        <v>30</v>
      </c>
      <c r="V416" s="13" t="str">
        <f t="shared" si="41"/>
        <v>funded</v>
      </c>
    </row>
    <row r="417" spans="1:22" ht="6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8307</v>
      </c>
      <c r="R417" t="s">
        <v>8312</v>
      </c>
      <c r="S417" s="14">
        <f t="shared" si="38"/>
        <v>41904.851875</v>
      </c>
      <c r="T417" s="14">
        <f t="shared" si="39"/>
        <v>41929.5</v>
      </c>
      <c r="U417" s="64">
        <f t="shared" si="40"/>
        <v>24.648124999999709</v>
      </c>
      <c r="V417" s="13" t="str">
        <f t="shared" si="41"/>
        <v>funded</v>
      </c>
    </row>
    <row r="418" spans="1:22" ht="3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8307</v>
      </c>
      <c r="R418" t="s">
        <v>8312</v>
      </c>
      <c r="S418" s="14">
        <f t="shared" si="38"/>
        <v>41648.396192129629</v>
      </c>
      <c r="T418" s="14">
        <f t="shared" si="39"/>
        <v>41678.396192129629</v>
      </c>
      <c r="U418" s="64">
        <f t="shared" si="40"/>
        <v>30</v>
      </c>
      <c r="V418" s="13" t="str">
        <f t="shared" si="41"/>
        <v>funded</v>
      </c>
    </row>
    <row r="419" spans="1:22" ht="48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8307</v>
      </c>
      <c r="R419" t="s">
        <v>8312</v>
      </c>
      <c r="S419" s="14">
        <f t="shared" si="38"/>
        <v>41360.970601851855</v>
      </c>
      <c r="T419" s="14">
        <f t="shared" si="39"/>
        <v>41372.189583333333</v>
      </c>
      <c r="U419" s="64">
        <f t="shared" si="40"/>
        <v>11.218981481477385</v>
      </c>
      <c r="V419" s="13" t="str">
        <f t="shared" si="41"/>
        <v>funded</v>
      </c>
    </row>
    <row r="420" spans="1:22" ht="48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8307</v>
      </c>
      <c r="R420" t="s">
        <v>8312</v>
      </c>
      <c r="S420" s="14">
        <f t="shared" si="38"/>
        <v>42178.282372685186</v>
      </c>
      <c r="T420" s="14">
        <f t="shared" si="39"/>
        <v>42208.282372685186</v>
      </c>
      <c r="U420" s="64">
        <f t="shared" si="40"/>
        <v>30</v>
      </c>
      <c r="V420" s="13" t="str">
        <f t="shared" si="41"/>
        <v>funded</v>
      </c>
    </row>
    <row r="421" spans="1:22" ht="48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8307</v>
      </c>
      <c r="R421" t="s">
        <v>8312</v>
      </c>
      <c r="S421" s="14">
        <f t="shared" si="38"/>
        <v>41394.842442129629</v>
      </c>
      <c r="T421" s="14">
        <f t="shared" si="39"/>
        <v>41454.842442129629</v>
      </c>
      <c r="U421" s="64">
        <f t="shared" si="40"/>
        <v>60</v>
      </c>
      <c r="V421" s="13" t="str">
        <f t="shared" si="41"/>
        <v>funded</v>
      </c>
    </row>
    <row r="422" spans="1:22" ht="48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0" t="s">
        <v>8307</v>
      </c>
      <c r="R422" t="s">
        <v>8313</v>
      </c>
      <c r="S422" s="14">
        <f t="shared" si="38"/>
        <v>41682.23646990741</v>
      </c>
      <c r="T422" s="14">
        <f t="shared" si="39"/>
        <v>41712.194803240738</v>
      </c>
      <c r="U422" s="64">
        <f t="shared" si="40"/>
        <v>29.958333333328483</v>
      </c>
      <c r="V422" s="13" t="str">
        <f t="shared" si="41"/>
        <v>underfunded</v>
      </c>
    </row>
    <row r="423" spans="1:22" ht="48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8307</v>
      </c>
      <c r="R423" t="s">
        <v>8313</v>
      </c>
      <c r="S423" s="14">
        <f t="shared" si="38"/>
        <v>42177.491388888884</v>
      </c>
      <c r="T423" s="14">
        <f t="shared" si="39"/>
        <v>42237.491388888884</v>
      </c>
      <c r="U423" s="64">
        <f t="shared" si="40"/>
        <v>60</v>
      </c>
      <c r="V423" s="13" t="str">
        <f t="shared" si="41"/>
        <v>underfunded</v>
      </c>
    </row>
    <row r="424" spans="1:22" ht="48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8307</v>
      </c>
      <c r="R424" t="s">
        <v>8313</v>
      </c>
      <c r="S424" s="14">
        <f t="shared" si="38"/>
        <v>41863.260381944441</v>
      </c>
      <c r="T424" s="14">
        <f t="shared" si="39"/>
        <v>41893.260381944441</v>
      </c>
      <c r="U424" s="64">
        <f t="shared" si="40"/>
        <v>30</v>
      </c>
      <c r="V424" s="13" t="str">
        <f t="shared" si="41"/>
        <v>underfunded</v>
      </c>
    </row>
    <row r="425" spans="1:22" ht="48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8307</v>
      </c>
      <c r="R425" t="s">
        <v>8313</v>
      </c>
      <c r="S425" s="14">
        <f t="shared" si="38"/>
        <v>41400.92627314815</v>
      </c>
      <c r="T425" s="14">
        <f t="shared" si="39"/>
        <v>41430.92627314815</v>
      </c>
      <c r="U425" s="64">
        <f t="shared" si="40"/>
        <v>30</v>
      </c>
      <c r="V425" s="13" t="str">
        <f t="shared" si="41"/>
        <v>underfunded</v>
      </c>
    </row>
    <row r="426" spans="1:22" ht="48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8307</v>
      </c>
      <c r="R426" t="s">
        <v>8313</v>
      </c>
      <c r="S426" s="14">
        <f t="shared" si="38"/>
        <v>40934.376145833332</v>
      </c>
      <c r="T426" s="14">
        <f t="shared" si="39"/>
        <v>40994.334479166668</v>
      </c>
      <c r="U426" s="64">
        <f t="shared" si="40"/>
        <v>59.958333333335759</v>
      </c>
      <c r="V426" s="13" t="str">
        <f t="shared" si="41"/>
        <v>underfunded</v>
      </c>
    </row>
    <row r="427" spans="1:22" ht="48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0" t="s">
        <v>8307</v>
      </c>
      <c r="R427" t="s">
        <v>8313</v>
      </c>
      <c r="S427" s="14">
        <f t="shared" si="38"/>
        <v>42275.861157407402</v>
      </c>
      <c r="T427" s="14">
        <f t="shared" si="39"/>
        <v>42335.902824074074</v>
      </c>
      <c r="U427" s="64">
        <f t="shared" si="40"/>
        <v>60.041666666671517</v>
      </c>
      <c r="V427" s="13" t="str">
        <f t="shared" si="41"/>
        <v>underfunded</v>
      </c>
    </row>
    <row r="428" spans="1:22" ht="48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8307</v>
      </c>
      <c r="R428" t="s">
        <v>8313</v>
      </c>
      <c r="S428" s="14">
        <f t="shared" si="38"/>
        <v>42400.711967592593</v>
      </c>
      <c r="T428" s="14">
        <f t="shared" si="39"/>
        <v>42430.711967592593</v>
      </c>
      <c r="U428" s="64">
        <f t="shared" si="40"/>
        <v>30</v>
      </c>
      <c r="V428" s="13" t="str">
        <f t="shared" si="41"/>
        <v>underfunded</v>
      </c>
    </row>
    <row r="429" spans="1:22" ht="48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0" t="s">
        <v>8307</v>
      </c>
      <c r="R429" t="s">
        <v>8313</v>
      </c>
      <c r="S429" s="14">
        <f t="shared" si="38"/>
        <v>42285.909027777772</v>
      </c>
      <c r="T429" s="14">
        <f t="shared" si="39"/>
        <v>42299.790972222225</v>
      </c>
      <c r="U429" s="64">
        <f t="shared" si="40"/>
        <v>13.881944444452529</v>
      </c>
      <c r="V429" s="13" t="str">
        <f t="shared" si="41"/>
        <v>underfunded</v>
      </c>
    </row>
    <row r="430" spans="1:22" ht="3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8307</v>
      </c>
      <c r="R430" t="s">
        <v>8313</v>
      </c>
      <c r="S430" s="14">
        <f t="shared" si="38"/>
        <v>41778.766724537039</v>
      </c>
      <c r="T430" s="14">
        <f t="shared" si="39"/>
        <v>41806.916666666664</v>
      </c>
      <c r="U430" s="64">
        <f t="shared" si="40"/>
        <v>28.149942129624833</v>
      </c>
      <c r="V430" s="13" t="str">
        <f t="shared" si="41"/>
        <v>underfunded</v>
      </c>
    </row>
    <row r="431" spans="1:22" ht="6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0" t="s">
        <v>8307</v>
      </c>
      <c r="R431" t="s">
        <v>8313</v>
      </c>
      <c r="S431" s="14">
        <f t="shared" si="38"/>
        <v>40070.901412037041</v>
      </c>
      <c r="T431" s="14">
        <f t="shared" si="39"/>
        <v>40144.207638888889</v>
      </c>
      <c r="U431" s="64">
        <f t="shared" si="40"/>
        <v>73.306226851847896</v>
      </c>
      <c r="V431" s="13" t="str">
        <f t="shared" si="41"/>
        <v>underfunded</v>
      </c>
    </row>
    <row r="432" spans="1:22" ht="3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8307</v>
      </c>
      <c r="R432" t="s">
        <v>8313</v>
      </c>
      <c r="S432" s="14">
        <f t="shared" si="38"/>
        <v>41513.107256944444</v>
      </c>
      <c r="T432" s="14">
        <f t="shared" si="39"/>
        <v>41528.107256944444</v>
      </c>
      <c r="U432" s="64">
        <f t="shared" si="40"/>
        <v>15</v>
      </c>
      <c r="V432" s="13" t="str">
        <f t="shared" si="41"/>
        <v>underfunded</v>
      </c>
    </row>
    <row r="433" spans="1:22" ht="48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8307</v>
      </c>
      <c r="R433" t="s">
        <v>8313</v>
      </c>
      <c r="S433" s="14">
        <f t="shared" si="38"/>
        <v>42526.871331018512</v>
      </c>
      <c r="T433" s="14">
        <f t="shared" si="39"/>
        <v>42556.871331018512</v>
      </c>
      <c r="U433" s="64">
        <f t="shared" si="40"/>
        <v>30</v>
      </c>
      <c r="V433" s="13" t="str">
        <f t="shared" si="41"/>
        <v>underfunded</v>
      </c>
    </row>
    <row r="434" spans="1:22" ht="48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8307</v>
      </c>
      <c r="R434" t="s">
        <v>8313</v>
      </c>
      <c r="S434" s="14">
        <f t="shared" si="38"/>
        <v>42238.726631944446</v>
      </c>
      <c r="T434" s="14">
        <f t="shared" si="39"/>
        <v>42298.726631944446</v>
      </c>
      <c r="U434" s="64">
        <f t="shared" si="40"/>
        <v>60</v>
      </c>
      <c r="V434" s="13" t="str">
        <f t="shared" si="41"/>
        <v>underfunded</v>
      </c>
    </row>
    <row r="435" spans="1:22" ht="6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0" t="s">
        <v>8307</v>
      </c>
      <c r="R435" t="s">
        <v>8313</v>
      </c>
      <c r="S435" s="14">
        <f t="shared" si="38"/>
        <v>42228.629884259266</v>
      </c>
      <c r="T435" s="14">
        <f t="shared" si="39"/>
        <v>42288.629884259266</v>
      </c>
      <c r="U435" s="64">
        <f t="shared" si="40"/>
        <v>60</v>
      </c>
      <c r="V435" s="13" t="str">
        <f t="shared" si="41"/>
        <v>underfunded</v>
      </c>
    </row>
    <row r="436" spans="1:22" ht="48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8307</v>
      </c>
      <c r="R436" t="s">
        <v>8313</v>
      </c>
      <c r="S436" s="14">
        <f t="shared" si="38"/>
        <v>41576.834513888891</v>
      </c>
      <c r="T436" s="14">
        <f t="shared" si="39"/>
        <v>41609.876180555555</v>
      </c>
      <c r="U436" s="64">
        <f t="shared" si="40"/>
        <v>33.041666666664241</v>
      </c>
      <c r="V436" s="13" t="str">
        <f t="shared" si="41"/>
        <v>underfunded</v>
      </c>
    </row>
    <row r="437" spans="1:22" ht="48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0" t="s">
        <v>8307</v>
      </c>
      <c r="R437" t="s">
        <v>8313</v>
      </c>
      <c r="S437" s="14">
        <f t="shared" si="38"/>
        <v>41500.747453703705</v>
      </c>
      <c r="T437" s="14">
        <f t="shared" si="39"/>
        <v>41530.747453703705</v>
      </c>
      <c r="U437" s="64">
        <f t="shared" si="40"/>
        <v>30</v>
      </c>
      <c r="V437" s="13" t="str">
        <f t="shared" si="41"/>
        <v>underfunded</v>
      </c>
    </row>
    <row r="438" spans="1:22" ht="48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0" t="s">
        <v>8307</v>
      </c>
      <c r="R438" t="s">
        <v>8313</v>
      </c>
      <c r="S438" s="14">
        <f t="shared" si="38"/>
        <v>41456.36241898148</v>
      </c>
      <c r="T438" s="14">
        <f t="shared" si="39"/>
        <v>41486.36241898148</v>
      </c>
      <c r="U438" s="64">
        <f t="shared" si="40"/>
        <v>30</v>
      </c>
      <c r="V438" s="13" t="str">
        <f t="shared" si="41"/>
        <v>underfunded</v>
      </c>
    </row>
    <row r="439" spans="1:22" ht="48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0" t="s">
        <v>8307</v>
      </c>
      <c r="R439" t="s">
        <v>8313</v>
      </c>
      <c r="S439" s="14">
        <f t="shared" si="38"/>
        <v>42591.31858796296</v>
      </c>
      <c r="T439" s="14">
        <f t="shared" si="39"/>
        <v>42651.31858796296</v>
      </c>
      <c r="U439" s="64">
        <f t="shared" si="40"/>
        <v>60</v>
      </c>
      <c r="V439" s="13" t="str">
        <f t="shared" si="41"/>
        <v>underfunded</v>
      </c>
    </row>
    <row r="440" spans="1:22" ht="48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8307</v>
      </c>
      <c r="R440" t="s">
        <v>8313</v>
      </c>
      <c r="S440" s="14">
        <f t="shared" si="38"/>
        <v>42296.261087962965</v>
      </c>
      <c r="T440" s="14">
        <f t="shared" si="39"/>
        <v>42326.302754629629</v>
      </c>
      <c r="U440" s="64">
        <f t="shared" si="40"/>
        <v>30.041666666664241</v>
      </c>
      <c r="V440" s="13" t="str">
        <f t="shared" si="41"/>
        <v>underfunded</v>
      </c>
    </row>
    <row r="441" spans="1:22" ht="48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0" t="s">
        <v>8307</v>
      </c>
      <c r="R441" t="s">
        <v>8313</v>
      </c>
      <c r="S441" s="14">
        <f t="shared" si="38"/>
        <v>41919.761782407404</v>
      </c>
      <c r="T441" s="14">
        <f t="shared" si="39"/>
        <v>41929.761782407404</v>
      </c>
      <c r="U441" s="64">
        <f t="shared" si="40"/>
        <v>10</v>
      </c>
      <c r="V441" s="13" t="str">
        <f t="shared" si="41"/>
        <v>underfunded</v>
      </c>
    </row>
    <row r="442" spans="1:22" ht="48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0" t="s">
        <v>8307</v>
      </c>
      <c r="R442" t="s">
        <v>8313</v>
      </c>
      <c r="S442" s="14">
        <f t="shared" si="38"/>
        <v>42423.985567129625</v>
      </c>
      <c r="T442" s="14">
        <f t="shared" si="39"/>
        <v>42453.943900462968</v>
      </c>
      <c r="U442" s="64">
        <f t="shared" si="40"/>
        <v>29.958333333343035</v>
      </c>
      <c r="V442" s="13" t="str">
        <f t="shared" si="41"/>
        <v>underfunded</v>
      </c>
    </row>
    <row r="443" spans="1:22" ht="48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0" t="s">
        <v>8307</v>
      </c>
      <c r="R443" t="s">
        <v>8313</v>
      </c>
      <c r="S443" s="14">
        <f t="shared" si="38"/>
        <v>41550.793935185182</v>
      </c>
      <c r="T443" s="14">
        <f t="shared" si="39"/>
        <v>41580.793935185182</v>
      </c>
      <c r="U443" s="64">
        <f t="shared" si="40"/>
        <v>30</v>
      </c>
      <c r="V443" s="13" t="str">
        <f t="shared" si="41"/>
        <v>underfunded</v>
      </c>
    </row>
    <row r="444" spans="1:22" ht="16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8307</v>
      </c>
      <c r="R444" t="s">
        <v>8313</v>
      </c>
      <c r="S444" s="14">
        <f t="shared" si="38"/>
        <v>42024.888692129629</v>
      </c>
      <c r="T444" s="14">
        <f t="shared" si="39"/>
        <v>42054.888692129629</v>
      </c>
      <c r="U444" s="64">
        <f t="shared" si="40"/>
        <v>30</v>
      </c>
      <c r="V444" s="13" t="str">
        <f t="shared" si="41"/>
        <v>underfunded</v>
      </c>
    </row>
    <row r="445" spans="1:22" ht="48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0" t="s">
        <v>8307</v>
      </c>
      <c r="R445" t="s">
        <v>8313</v>
      </c>
      <c r="S445" s="14">
        <f t="shared" si="38"/>
        <v>41650.015057870369</v>
      </c>
      <c r="T445" s="14">
        <f t="shared" si="39"/>
        <v>41680.015057870369</v>
      </c>
      <c r="U445" s="64">
        <f t="shared" si="40"/>
        <v>30</v>
      </c>
      <c r="V445" s="13" t="str">
        <f t="shared" si="41"/>
        <v>underfunded</v>
      </c>
    </row>
    <row r="446" spans="1:22" ht="3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8307</v>
      </c>
      <c r="R446" t="s">
        <v>8313</v>
      </c>
      <c r="S446" s="14">
        <f t="shared" si="38"/>
        <v>40894.906956018516</v>
      </c>
      <c r="T446" s="14">
        <f t="shared" si="39"/>
        <v>40954.906956018516</v>
      </c>
      <c r="U446" s="64">
        <f t="shared" si="40"/>
        <v>60</v>
      </c>
      <c r="V446" s="13" t="str">
        <f t="shared" si="41"/>
        <v>underfunded</v>
      </c>
    </row>
    <row r="447" spans="1:22" ht="48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0" t="s">
        <v>8307</v>
      </c>
      <c r="R447" t="s">
        <v>8313</v>
      </c>
      <c r="S447" s="14">
        <f t="shared" si="38"/>
        <v>42130.335358796292</v>
      </c>
      <c r="T447" s="14">
        <f t="shared" si="39"/>
        <v>42145.335358796292</v>
      </c>
      <c r="U447" s="64">
        <f t="shared" si="40"/>
        <v>15</v>
      </c>
      <c r="V447" s="13" t="str">
        <f t="shared" si="41"/>
        <v>underfunded</v>
      </c>
    </row>
    <row r="448" spans="1:22" ht="48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8307</v>
      </c>
      <c r="R448" t="s">
        <v>8313</v>
      </c>
      <c r="S448" s="14">
        <f t="shared" si="38"/>
        <v>42037.083564814813</v>
      </c>
      <c r="T448" s="14">
        <f t="shared" si="39"/>
        <v>42067.083564814813</v>
      </c>
      <c r="U448" s="64">
        <f t="shared" si="40"/>
        <v>30</v>
      </c>
      <c r="V448" s="13" t="str">
        <f t="shared" si="41"/>
        <v>underfunded</v>
      </c>
    </row>
    <row r="449" spans="1:22" ht="48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0" t="s">
        <v>8307</v>
      </c>
      <c r="R449" t="s">
        <v>8313</v>
      </c>
      <c r="S449" s="14">
        <f t="shared" si="38"/>
        <v>41331.555127314816</v>
      </c>
      <c r="T449" s="14">
        <f t="shared" si="39"/>
        <v>41356.513460648144</v>
      </c>
      <c r="U449" s="64">
        <f t="shared" si="40"/>
        <v>24.958333333328483</v>
      </c>
      <c r="V449" s="13" t="str">
        <f t="shared" si="41"/>
        <v>underfunded</v>
      </c>
    </row>
    <row r="450" spans="1:22" ht="48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>
        <f t="shared" si="37"/>
        <v>20.5</v>
      </c>
      <c r="Q450" s="10" t="s">
        <v>8307</v>
      </c>
      <c r="R450" t="s">
        <v>8313</v>
      </c>
      <c r="S450" s="14">
        <f t="shared" si="38"/>
        <v>41753.758043981477</v>
      </c>
      <c r="T450" s="14">
        <f t="shared" si="39"/>
        <v>41773.758043981477</v>
      </c>
      <c r="U450" s="64">
        <f t="shared" si="40"/>
        <v>20</v>
      </c>
      <c r="V450" s="13" t="str">
        <f t="shared" si="41"/>
        <v>underfunded</v>
      </c>
    </row>
    <row r="451" spans="1:22" ht="48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ROUND(E451/D451*100,0)</f>
        <v>2</v>
      </c>
      <c r="P451">
        <f t="shared" ref="P451:P514" si="43">IFERROR(ROUND(E451/L451,2), 0)</f>
        <v>9</v>
      </c>
      <c r="Q451" s="10" t="s">
        <v>8307</v>
      </c>
      <c r="R451" t="s">
        <v>8313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 s="64">
        <f t="shared" ref="U451:V514" si="46">T451-S451</f>
        <v>30</v>
      </c>
      <c r="V451" s="13" t="str">
        <f t="shared" ref="V451:V514" si="47">IF(E451&gt;=D451, "funded", "underfunded")</f>
        <v>underfunded</v>
      </c>
    </row>
    <row r="452" spans="1:22" ht="48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8307</v>
      </c>
      <c r="R452" t="s">
        <v>8313</v>
      </c>
      <c r="S452" s="14">
        <f t="shared" si="44"/>
        <v>41654.946759259255</v>
      </c>
      <c r="T452" s="14">
        <f t="shared" si="45"/>
        <v>41684.946759259255</v>
      </c>
      <c r="U452" s="64">
        <f t="shared" si="46"/>
        <v>30</v>
      </c>
      <c r="V452" s="13" t="str">
        <f t="shared" si="47"/>
        <v>underfunded</v>
      </c>
    </row>
    <row r="453" spans="1:22" ht="48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0" t="s">
        <v>8307</v>
      </c>
      <c r="R453" t="s">
        <v>8313</v>
      </c>
      <c r="S453" s="14">
        <f t="shared" si="44"/>
        <v>41634.715173611112</v>
      </c>
      <c r="T453" s="14">
        <f t="shared" si="45"/>
        <v>41664.715173611112</v>
      </c>
      <c r="U453" s="64">
        <f t="shared" si="46"/>
        <v>30</v>
      </c>
      <c r="V453" s="13" t="str">
        <f t="shared" si="47"/>
        <v>underfunded</v>
      </c>
    </row>
    <row r="454" spans="1:22" ht="3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8307</v>
      </c>
      <c r="R454" t="s">
        <v>8313</v>
      </c>
      <c r="S454" s="14">
        <f t="shared" si="44"/>
        <v>42107.703877314809</v>
      </c>
      <c r="T454" s="14">
        <f t="shared" si="45"/>
        <v>42137.703877314809</v>
      </c>
      <c r="U454" s="64">
        <f t="shared" si="46"/>
        <v>30</v>
      </c>
      <c r="V454" s="13" t="str">
        <f t="shared" si="47"/>
        <v>underfunded</v>
      </c>
    </row>
    <row r="455" spans="1:22" ht="48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0" t="s">
        <v>8307</v>
      </c>
      <c r="R455" t="s">
        <v>8313</v>
      </c>
      <c r="S455" s="14">
        <f t="shared" si="44"/>
        <v>42038.824988425928</v>
      </c>
      <c r="T455" s="14">
        <f t="shared" si="45"/>
        <v>42054.824988425928</v>
      </c>
      <c r="U455" s="64">
        <f t="shared" si="46"/>
        <v>16</v>
      </c>
      <c r="V455" s="13" t="str">
        <f t="shared" si="47"/>
        <v>underfunded</v>
      </c>
    </row>
    <row r="456" spans="1:22" ht="48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8307</v>
      </c>
      <c r="R456" t="s">
        <v>8313</v>
      </c>
      <c r="S456" s="14">
        <f t="shared" si="44"/>
        <v>41938.717256944445</v>
      </c>
      <c r="T456" s="14">
        <f t="shared" si="45"/>
        <v>41969.551388888889</v>
      </c>
      <c r="U456" s="64">
        <f t="shared" si="46"/>
        <v>30.83413194444438</v>
      </c>
      <c r="V456" s="13" t="str">
        <f t="shared" si="47"/>
        <v>underfunded</v>
      </c>
    </row>
    <row r="457" spans="1:22" ht="48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0" t="s">
        <v>8307</v>
      </c>
      <c r="R457" t="s">
        <v>8313</v>
      </c>
      <c r="S457" s="14">
        <f t="shared" si="44"/>
        <v>40971.002569444441</v>
      </c>
      <c r="T457" s="14">
        <f t="shared" si="45"/>
        <v>41016.021527777775</v>
      </c>
      <c r="U457" s="64">
        <f t="shared" si="46"/>
        <v>45.018958333334012</v>
      </c>
      <c r="V457" s="13" t="str">
        <f t="shared" si="47"/>
        <v>underfunded</v>
      </c>
    </row>
    <row r="458" spans="1:22" ht="48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8307</v>
      </c>
      <c r="R458" t="s">
        <v>8313</v>
      </c>
      <c r="S458" s="14">
        <f t="shared" si="44"/>
        <v>41547.694456018515</v>
      </c>
      <c r="T458" s="14">
        <f t="shared" si="45"/>
        <v>41569.165972222225</v>
      </c>
      <c r="U458" s="64">
        <f t="shared" si="46"/>
        <v>21.471516203710053</v>
      </c>
      <c r="V458" s="13" t="str">
        <f t="shared" si="47"/>
        <v>underfunded</v>
      </c>
    </row>
    <row r="459" spans="1:22" ht="48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0" t="s">
        <v>8307</v>
      </c>
      <c r="R459" t="s">
        <v>8313</v>
      </c>
      <c r="S459" s="14">
        <f t="shared" si="44"/>
        <v>41837.767500000002</v>
      </c>
      <c r="T459" s="14">
        <f t="shared" si="45"/>
        <v>41867.767500000002</v>
      </c>
      <c r="U459" s="64">
        <f t="shared" si="46"/>
        <v>30</v>
      </c>
      <c r="V459" s="13" t="str">
        <f t="shared" si="47"/>
        <v>underfunded</v>
      </c>
    </row>
    <row r="460" spans="1:22" ht="48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8307</v>
      </c>
      <c r="R460" t="s">
        <v>8313</v>
      </c>
      <c r="S460" s="14">
        <f t="shared" si="44"/>
        <v>41378.69976851852</v>
      </c>
      <c r="T460" s="14">
        <f t="shared" si="45"/>
        <v>41408.69976851852</v>
      </c>
      <c r="U460" s="64">
        <f t="shared" si="46"/>
        <v>30</v>
      </c>
      <c r="V460" s="13" t="str">
        <f t="shared" si="47"/>
        <v>underfunded</v>
      </c>
    </row>
    <row r="461" spans="1:22" ht="48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0" t="s">
        <v>8307</v>
      </c>
      <c r="R461" t="s">
        <v>8313</v>
      </c>
      <c r="S461" s="14">
        <f t="shared" si="44"/>
        <v>40800.6403587963</v>
      </c>
      <c r="T461" s="14">
        <f t="shared" si="45"/>
        <v>40860.682025462964</v>
      </c>
      <c r="U461" s="64">
        <f t="shared" si="46"/>
        <v>60.041666666664241</v>
      </c>
      <c r="V461" s="13" t="str">
        <f t="shared" si="47"/>
        <v>underfunded</v>
      </c>
    </row>
    <row r="462" spans="1:22" ht="3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0" t="s">
        <v>8307</v>
      </c>
      <c r="R462" t="s">
        <v>8313</v>
      </c>
      <c r="S462" s="14">
        <f t="shared" si="44"/>
        <v>41759.542534722219</v>
      </c>
      <c r="T462" s="14">
        <f t="shared" si="45"/>
        <v>41791.166666666664</v>
      </c>
      <c r="U462" s="64">
        <f t="shared" si="46"/>
        <v>31.624131944445253</v>
      </c>
      <c r="V462" s="13" t="str">
        <f t="shared" si="47"/>
        <v>underfunded</v>
      </c>
    </row>
    <row r="463" spans="1:22" ht="48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0" t="s">
        <v>8307</v>
      </c>
      <c r="R463" t="s">
        <v>8313</v>
      </c>
      <c r="S463" s="14">
        <f t="shared" si="44"/>
        <v>41407.84684027778</v>
      </c>
      <c r="T463" s="14">
        <f t="shared" si="45"/>
        <v>41427.84684027778</v>
      </c>
      <c r="U463" s="64">
        <f t="shared" si="46"/>
        <v>20</v>
      </c>
      <c r="V463" s="13" t="str">
        <f t="shared" si="47"/>
        <v>underfunded</v>
      </c>
    </row>
    <row r="464" spans="1:22" ht="48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0" t="s">
        <v>8307</v>
      </c>
      <c r="R464" t="s">
        <v>8313</v>
      </c>
      <c r="S464" s="14">
        <f t="shared" si="44"/>
        <v>40705.126631944448</v>
      </c>
      <c r="T464" s="14">
        <f t="shared" si="45"/>
        <v>40765.126631944448</v>
      </c>
      <c r="U464" s="64">
        <f t="shared" si="46"/>
        <v>60</v>
      </c>
      <c r="V464" s="13" t="str">
        <f t="shared" si="47"/>
        <v>underfunded</v>
      </c>
    </row>
    <row r="465" spans="1:22" ht="48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8307</v>
      </c>
      <c r="R465" t="s">
        <v>8313</v>
      </c>
      <c r="S465" s="14">
        <f t="shared" si="44"/>
        <v>40750.710104166668</v>
      </c>
      <c r="T465" s="14">
        <f t="shared" si="45"/>
        <v>40810.710104166668</v>
      </c>
      <c r="U465" s="64">
        <f t="shared" si="46"/>
        <v>60</v>
      </c>
      <c r="V465" s="13" t="str">
        <f t="shared" si="47"/>
        <v>underfunded</v>
      </c>
    </row>
    <row r="466" spans="1:22" ht="3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0" t="s">
        <v>8307</v>
      </c>
      <c r="R466" t="s">
        <v>8313</v>
      </c>
      <c r="S466" s="14">
        <f t="shared" si="44"/>
        <v>42488.848784722228</v>
      </c>
      <c r="T466" s="14">
        <f t="shared" si="45"/>
        <v>42508.848784722228</v>
      </c>
      <c r="U466" s="64">
        <f t="shared" si="46"/>
        <v>20</v>
      </c>
      <c r="V466" s="13" t="str">
        <f t="shared" si="47"/>
        <v>underfunded</v>
      </c>
    </row>
    <row r="467" spans="1:22" ht="16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8307</v>
      </c>
      <c r="R467" t="s">
        <v>8313</v>
      </c>
      <c r="S467" s="14">
        <f t="shared" si="44"/>
        <v>41801.120069444441</v>
      </c>
      <c r="T467" s="14">
        <f t="shared" si="45"/>
        <v>41817.120069444441</v>
      </c>
      <c r="U467" s="64">
        <f t="shared" si="46"/>
        <v>16</v>
      </c>
      <c r="V467" s="13" t="str">
        <f t="shared" si="47"/>
        <v>underfunded</v>
      </c>
    </row>
    <row r="468" spans="1:22" ht="48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8307</v>
      </c>
      <c r="R468" t="s">
        <v>8313</v>
      </c>
      <c r="S468" s="14">
        <f t="shared" si="44"/>
        <v>41129.942870370374</v>
      </c>
      <c r="T468" s="14">
        <f t="shared" si="45"/>
        <v>41159.942870370374</v>
      </c>
      <c r="U468" s="64">
        <f t="shared" si="46"/>
        <v>30</v>
      </c>
      <c r="V468" s="13" t="str">
        <f t="shared" si="47"/>
        <v>underfunded</v>
      </c>
    </row>
    <row r="469" spans="1:22" ht="48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8307</v>
      </c>
      <c r="R469" t="s">
        <v>8313</v>
      </c>
      <c r="S469" s="14">
        <f t="shared" si="44"/>
        <v>41135.679791666669</v>
      </c>
      <c r="T469" s="14">
        <f t="shared" si="45"/>
        <v>41180.679791666669</v>
      </c>
      <c r="U469" s="64">
        <f t="shared" si="46"/>
        <v>45</v>
      </c>
      <c r="V469" s="13" t="str">
        <f t="shared" si="47"/>
        <v>underfunded</v>
      </c>
    </row>
    <row r="470" spans="1:22" ht="48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0" t="s">
        <v>8307</v>
      </c>
      <c r="R470" t="s">
        <v>8313</v>
      </c>
      <c r="S470" s="14">
        <f t="shared" si="44"/>
        <v>41041.167627314811</v>
      </c>
      <c r="T470" s="14">
        <f t="shared" si="45"/>
        <v>41101.160474537035</v>
      </c>
      <c r="U470" s="64">
        <f t="shared" si="46"/>
        <v>59.992847222223645</v>
      </c>
      <c r="V470" s="13" t="str">
        <f t="shared" si="47"/>
        <v>underfunded</v>
      </c>
    </row>
    <row r="471" spans="1:22" ht="3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0" t="s">
        <v>8307</v>
      </c>
      <c r="R471" t="s">
        <v>8313</v>
      </c>
      <c r="S471" s="14">
        <f t="shared" si="44"/>
        <v>41827.989861111113</v>
      </c>
      <c r="T471" s="14">
        <f t="shared" si="45"/>
        <v>41887.989861111113</v>
      </c>
      <c r="U471" s="64">
        <f t="shared" si="46"/>
        <v>60</v>
      </c>
      <c r="V471" s="13" t="str">
        <f t="shared" si="47"/>
        <v>underfunded</v>
      </c>
    </row>
    <row r="472" spans="1:22" ht="48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8307</v>
      </c>
      <c r="R472" t="s">
        <v>8313</v>
      </c>
      <c r="S472" s="14">
        <f t="shared" si="44"/>
        <v>41605.167696759258</v>
      </c>
      <c r="T472" s="14">
        <f t="shared" si="45"/>
        <v>41655.166666666664</v>
      </c>
      <c r="U472" s="64">
        <f t="shared" si="46"/>
        <v>49.998969907406718</v>
      </c>
      <c r="V472" s="13" t="str">
        <f t="shared" si="47"/>
        <v>underfunded</v>
      </c>
    </row>
    <row r="473" spans="1:22" ht="6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8307</v>
      </c>
      <c r="R473" t="s">
        <v>8313</v>
      </c>
      <c r="S473" s="14">
        <f t="shared" si="44"/>
        <v>41703.721979166665</v>
      </c>
      <c r="T473" s="14">
        <f t="shared" si="45"/>
        <v>41748.680312500001</v>
      </c>
      <c r="U473" s="64">
        <f t="shared" si="46"/>
        <v>44.958333333335759</v>
      </c>
      <c r="V473" s="13" t="str">
        <f t="shared" si="47"/>
        <v>underfunded</v>
      </c>
    </row>
    <row r="474" spans="1:22" ht="48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8307</v>
      </c>
      <c r="R474" t="s">
        <v>8313</v>
      </c>
      <c r="S474" s="14">
        <f t="shared" si="44"/>
        <v>41844.922662037039</v>
      </c>
      <c r="T474" s="14">
        <f t="shared" si="45"/>
        <v>41874.922662037039</v>
      </c>
      <c r="U474" s="64">
        <f t="shared" si="46"/>
        <v>30</v>
      </c>
      <c r="V474" s="13" t="str">
        <f t="shared" si="47"/>
        <v>underfunded</v>
      </c>
    </row>
    <row r="475" spans="1:22" ht="48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8307</v>
      </c>
      <c r="R475" t="s">
        <v>8313</v>
      </c>
      <c r="S475" s="14">
        <f t="shared" si="44"/>
        <v>41869.698136574072</v>
      </c>
      <c r="T475" s="14">
        <f t="shared" si="45"/>
        <v>41899.698136574072</v>
      </c>
      <c r="U475" s="64">
        <f t="shared" si="46"/>
        <v>30</v>
      </c>
      <c r="V475" s="13" t="str">
        <f t="shared" si="47"/>
        <v>underfunded</v>
      </c>
    </row>
    <row r="476" spans="1:22" ht="48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0" t="s">
        <v>8307</v>
      </c>
      <c r="R476" t="s">
        <v>8313</v>
      </c>
      <c r="S476" s="14">
        <f t="shared" si="44"/>
        <v>42753.329039351855</v>
      </c>
      <c r="T476" s="14">
        <f t="shared" si="45"/>
        <v>42783.329039351855</v>
      </c>
      <c r="U476" s="64">
        <f t="shared" si="46"/>
        <v>30</v>
      </c>
      <c r="V476" s="13" t="str">
        <f t="shared" si="47"/>
        <v>underfunded</v>
      </c>
    </row>
    <row r="477" spans="1:22" ht="48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0" t="s">
        <v>8307</v>
      </c>
      <c r="R477" t="s">
        <v>8313</v>
      </c>
      <c r="S477" s="14">
        <f t="shared" si="44"/>
        <v>42100.086145833338</v>
      </c>
      <c r="T477" s="14">
        <f t="shared" si="45"/>
        <v>42130.086145833338</v>
      </c>
      <c r="U477" s="64">
        <f t="shared" si="46"/>
        <v>30</v>
      </c>
      <c r="V477" s="13" t="str">
        <f t="shared" si="47"/>
        <v>underfunded</v>
      </c>
    </row>
    <row r="478" spans="1:22" ht="3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8307</v>
      </c>
      <c r="R478" t="s">
        <v>8313</v>
      </c>
      <c r="S478" s="14">
        <f t="shared" si="44"/>
        <v>41757.975011574075</v>
      </c>
      <c r="T478" s="14">
        <f t="shared" si="45"/>
        <v>41793.165972222225</v>
      </c>
      <c r="U478" s="64">
        <f t="shared" si="46"/>
        <v>35.190960648149485</v>
      </c>
      <c r="V478" s="13" t="str">
        <f t="shared" si="47"/>
        <v>underfunded</v>
      </c>
    </row>
    <row r="479" spans="1:22" ht="48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0" t="s">
        <v>8307</v>
      </c>
      <c r="R479" t="s">
        <v>8313</v>
      </c>
      <c r="S479" s="14">
        <f t="shared" si="44"/>
        <v>40987.83488425926</v>
      </c>
      <c r="T479" s="14">
        <f t="shared" si="45"/>
        <v>41047.83488425926</v>
      </c>
      <c r="U479" s="64">
        <f t="shared" si="46"/>
        <v>60</v>
      </c>
      <c r="V479" s="13" t="str">
        <f t="shared" si="47"/>
        <v>underfunded</v>
      </c>
    </row>
    <row r="480" spans="1:22" ht="48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0" t="s">
        <v>8307</v>
      </c>
      <c r="R480" t="s">
        <v>8313</v>
      </c>
      <c r="S480" s="14">
        <f t="shared" si="44"/>
        <v>42065.910983796297</v>
      </c>
      <c r="T480" s="14">
        <f t="shared" si="45"/>
        <v>42095.869317129633</v>
      </c>
      <c r="U480" s="64">
        <f t="shared" si="46"/>
        <v>29.958333333335759</v>
      </c>
      <c r="V480" s="13" t="str">
        <f t="shared" si="47"/>
        <v>underfunded</v>
      </c>
    </row>
    <row r="481" spans="1:22" ht="48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8307</v>
      </c>
      <c r="R481" t="s">
        <v>8313</v>
      </c>
      <c r="S481" s="14">
        <f t="shared" si="44"/>
        <v>41904.407812500001</v>
      </c>
      <c r="T481" s="14">
        <f t="shared" si="45"/>
        <v>41964.449479166666</v>
      </c>
      <c r="U481" s="64">
        <f t="shared" si="46"/>
        <v>60.041666666664241</v>
      </c>
      <c r="V481" s="13" t="str">
        <f t="shared" si="47"/>
        <v>underfunded</v>
      </c>
    </row>
    <row r="482" spans="1:22" ht="48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8307</v>
      </c>
      <c r="R482" t="s">
        <v>8313</v>
      </c>
      <c r="S482" s="14">
        <f t="shared" si="44"/>
        <v>41465.500173611108</v>
      </c>
      <c r="T482" s="14">
        <f t="shared" si="45"/>
        <v>41495.500173611108</v>
      </c>
      <c r="U482" s="64">
        <f t="shared" si="46"/>
        <v>30</v>
      </c>
      <c r="V482" s="13" t="str">
        <f t="shared" si="47"/>
        <v>underfunded</v>
      </c>
    </row>
    <row r="483" spans="1:22" ht="48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8307</v>
      </c>
      <c r="R483" t="s">
        <v>8313</v>
      </c>
      <c r="S483" s="14">
        <f t="shared" si="44"/>
        <v>41162.672326388885</v>
      </c>
      <c r="T483" s="14">
        <f t="shared" si="45"/>
        <v>41192.672326388885</v>
      </c>
      <c r="U483" s="64">
        <f t="shared" si="46"/>
        <v>30</v>
      </c>
      <c r="V483" s="13" t="str">
        <f t="shared" si="47"/>
        <v>underfunded</v>
      </c>
    </row>
    <row r="484" spans="1:22" ht="48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0" t="s">
        <v>8307</v>
      </c>
      <c r="R484" t="s">
        <v>8313</v>
      </c>
      <c r="S484" s="14">
        <f t="shared" si="44"/>
        <v>42447.896875000006</v>
      </c>
      <c r="T484" s="14">
        <f t="shared" si="45"/>
        <v>42474.606944444444</v>
      </c>
      <c r="U484" s="64">
        <f t="shared" si="46"/>
        <v>26.710069444437977</v>
      </c>
      <c r="V484" s="13" t="str">
        <f t="shared" si="47"/>
        <v>underfunded</v>
      </c>
    </row>
    <row r="485" spans="1:22" ht="48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8307</v>
      </c>
      <c r="R485" t="s">
        <v>8313</v>
      </c>
      <c r="S485" s="14">
        <f t="shared" si="44"/>
        <v>41243.197592592594</v>
      </c>
      <c r="T485" s="14">
        <f t="shared" si="45"/>
        <v>41303.197592592594</v>
      </c>
      <c r="U485" s="64">
        <f t="shared" si="46"/>
        <v>60</v>
      </c>
      <c r="V485" s="13" t="str">
        <f t="shared" si="47"/>
        <v>underfunded</v>
      </c>
    </row>
    <row r="486" spans="1:22" ht="6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0" t="s">
        <v>8307</v>
      </c>
      <c r="R486" t="s">
        <v>8313</v>
      </c>
      <c r="S486" s="14">
        <f t="shared" si="44"/>
        <v>42272.93949074074</v>
      </c>
      <c r="T486" s="14">
        <f t="shared" si="45"/>
        <v>42313.981157407412</v>
      </c>
      <c r="U486" s="64">
        <f t="shared" si="46"/>
        <v>41.041666666671517</v>
      </c>
      <c r="V486" s="13" t="str">
        <f t="shared" si="47"/>
        <v>underfunded</v>
      </c>
    </row>
    <row r="487" spans="1:22" ht="3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8307</v>
      </c>
      <c r="R487" t="s">
        <v>8313</v>
      </c>
      <c r="S487" s="14">
        <f t="shared" si="44"/>
        <v>41381.50577546296</v>
      </c>
      <c r="T487" s="14">
        <f t="shared" si="45"/>
        <v>41411.50577546296</v>
      </c>
      <c r="U487" s="64">
        <f t="shared" si="46"/>
        <v>30</v>
      </c>
      <c r="V487" s="13" t="str">
        <f t="shared" si="47"/>
        <v>underfunded</v>
      </c>
    </row>
    <row r="488" spans="1:22" ht="48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0" t="s">
        <v>8307</v>
      </c>
      <c r="R488" t="s">
        <v>8313</v>
      </c>
      <c r="S488" s="14">
        <f t="shared" si="44"/>
        <v>41761.94258101852</v>
      </c>
      <c r="T488" s="14">
        <f t="shared" si="45"/>
        <v>41791.94258101852</v>
      </c>
      <c r="U488" s="64">
        <f t="shared" si="46"/>
        <v>30</v>
      </c>
      <c r="V488" s="13" t="str">
        <f t="shared" si="47"/>
        <v>underfunded</v>
      </c>
    </row>
    <row r="489" spans="1:22" ht="48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0" t="s">
        <v>8307</v>
      </c>
      <c r="R489" t="s">
        <v>8313</v>
      </c>
      <c r="S489" s="14">
        <f t="shared" si="44"/>
        <v>42669.594837962963</v>
      </c>
      <c r="T489" s="14">
        <f t="shared" si="45"/>
        <v>42729.636504629627</v>
      </c>
      <c r="U489" s="64">
        <f t="shared" si="46"/>
        <v>60.041666666664241</v>
      </c>
      <c r="V489" s="13" t="str">
        <f t="shared" si="47"/>
        <v>underfunded</v>
      </c>
    </row>
    <row r="490" spans="1:22" ht="3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0" t="s">
        <v>8307</v>
      </c>
      <c r="R490" t="s">
        <v>8313</v>
      </c>
      <c r="S490" s="14">
        <f t="shared" si="44"/>
        <v>42714.054398148146</v>
      </c>
      <c r="T490" s="14">
        <f t="shared" si="45"/>
        <v>42744.054398148146</v>
      </c>
      <c r="U490" s="64">
        <f t="shared" si="46"/>
        <v>30</v>
      </c>
      <c r="V490" s="13" t="str">
        <f t="shared" si="47"/>
        <v>underfunded</v>
      </c>
    </row>
    <row r="491" spans="1:22" ht="48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0" t="s">
        <v>8307</v>
      </c>
      <c r="R491" t="s">
        <v>8313</v>
      </c>
      <c r="S491" s="14">
        <f t="shared" si="44"/>
        <v>40882.481666666667</v>
      </c>
      <c r="T491" s="14">
        <f t="shared" si="45"/>
        <v>40913.481249999997</v>
      </c>
      <c r="U491" s="64">
        <f t="shared" si="46"/>
        <v>30.99958333333052</v>
      </c>
      <c r="V491" s="13" t="str">
        <f t="shared" si="47"/>
        <v>underfunded</v>
      </c>
    </row>
    <row r="492" spans="1:22" ht="16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0" t="s">
        <v>8307</v>
      </c>
      <c r="R492" t="s">
        <v>8313</v>
      </c>
      <c r="S492" s="14">
        <f t="shared" si="44"/>
        <v>41113.968576388892</v>
      </c>
      <c r="T492" s="14">
        <f t="shared" si="45"/>
        <v>41143.968576388892</v>
      </c>
      <c r="U492" s="64">
        <f t="shared" si="46"/>
        <v>30</v>
      </c>
      <c r="V492" s="13" t="str">
        <f t="shared" si="47"/>
        <v>underfunded</v>
      </c>
    </row>
    <row r="493" spans="1:22" ht="48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0" t="s">
        <v>8307</v>
      </c>
      <c r="R493" t="s">
        <v>8313</v>
      </c>
      <c r="S493" s="14">
        <f t="shared" si="44"/>
        <v>42366.982627314821</v>
      </c>
      <c r="T493" s="14">
        <f t="shared" si="45"/>
        <v>42396.982627314821</v>
      </c>
      <c r="U493" s="64">
        <f t="shared" si="46"/>
        <v>30</v>
      </c>
      <c r="V493" s="13" t="str">
        <f t="shared" si="47"/>
        <v>underfunded</v>
      </c>
    </row>
    <row r="494" spans="1:22" ht="48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0" t="s">
        <v>8307</v>
      </c>
      <c r="R494" t="s">
        <v>8313</v>
      </c>
      <c r="S494" s="14">
        <f t="shared" si="44"/>
        <v>42596.03506944445</v>
      </c>
      <c r="T494" s="14">
        <f t="shared" si="45"/>
        <v>42656.03506944445</v>
      </c>
      <c r="U494" s="64">
        <f t="shared" si="46"/>
        <v>60</v>
      </c>
      <c r="V494" s="13" t="str">
        <f t="shared" si="47"/>
        <v>underfunded</v>
      </c>
    </row>
    <row r="495" spans="1:22" ht="48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0" t="s">
        <v>8307</v>
      </c>
      <c r="R495" t="s">
        <v>8313</v>
      </c>
      <c r="S495" s="14">
        <f t="shared" si="44"/>
        <v>42114.726134259254</v>
      </c>
      <c r="T495" s="14">
        <f t="shared" si="45"/>
        <v>42144.726134259254</v>
      </c>
      <c r="U495" s="64">
        <f t="shared" si="46"/>
        <v>30</v>
      </c>
      <c r="V495" s="13" t="str">
        <f t="shared" si="47"/>
        <v>underfunded</v>
      </c>
    </row>
    <row r="496" spans="1:22" ht="48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0" t="s">
        <v>8307</v>
      </c>
      <c r="R496" t="s">
        <v>8313</v>
      </c>
      <c r="S496" s="14">
        <f t="shared" si="44"/>
        <v>41799.830613425926</v>
      </c>
      <c r="T496" s="14">
        <f t="shared" si="45"/>
        <v>41823.125</v>
      </c>
      <c r="U496" s="64">
        <f t="shared" si="46"/>
        <v>23.294386574074451</v>
      </c>
      <c r="V496" s="13" t="str">
        <f t="shared" si="47"/>
        <v>underfunded</v>
      </c>
    </row>
    <row r="497" spans="1:22" ht="48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0" t="s">
        <v>8307</v>
      </c>
      <c r="R497" t="s">
        <v>8313</v>
      </c>
      <c r="S497" s="14">
        <f t="shared" si="44"/>
        <v>42171.827604166669</v>
      </c>
      <c r="T497" s="14">
        <f t="shared" si="45"/>
        <v>42201.827604166669</v>
      </c>
      <c r="U497" s="64">
        <f t="shared" si="46"/>
        <v>30</v>
      </c>
      <c r="V497" s="13" t="str">
        <f t="shared" si="47"/>
        <v>underfunded</v>
      </c>
    </row>
    <row r="498" spans="1:22" ht="3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0" t="s">
        <v>8307</v>
      </c>
      <c r="R498" t="s">
        <v>8313</v>
      </c>
      <c r="S498" s="14">
        <f t="shared" si="44"/>
        <v>41620.93141203704</v>
      </c>
      <c r="T498" s="14">
        <f t="shared" si="45"/>
        <v>41680.93141203704</v>
      </c>
      <c r="U498" s="64">
        <f t="shared" si="46"/>
        <v>60</v>
      </c>
      <c r="V498" s="13" t="str">
        <f t="shared" si="47"/>
        <v>underfunded</v>
      </c>
    </row>
    <row r="499" spans="1:22" ht="16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8307</v>
      </c>
      <c r="R499" t="s">
        <v>8313</v>
      </c>
      <c r="S499" s="14">
        <f t="shared" si="44"/>
        <v>41945.037789351853</v>
      </c>
      <c r="T499" s="14">
        <f t="shared" si="45"/>
        <v>41998.208333333328</v>
      </c>
      <c r="U499" s="64">
        <f t="shared" si="46"/>
        <v>53.17054398147593</v>
      </c>
      <c r="V499" s="13" t="str">
        <f t="shared" si="47"/>
        <v>underfunded</v>
      </c>
    </row>
    <row r="500" spans="1:22" ht="48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8307</v>
      </c>
      <c r="R500" t="s">
        <v>8313</v>
      </c>
      <c r="S500" s="14">
        <f t="shared" si="44"/>
        <v>40858.762141203704</v>
      </c>
      <c r="T500" s="14">
        <f t="shared" si="45"/>
        <v>40900.762141203704</v>
      </c>
      <c r="U500" s="64">
        <f t="shared" si="46"/>
        <v>42</v>
      </c>
      <c r="V500" s="13" t="str">
        <f t="shared" si="47"/>
        <v>underfunded</v>
      </c>
    </row>
    <row r="501" spans="1:22" ht="6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8307</v>
      </c>
      <c r="R501" t="s">
        <v>8313</v>
      </c>
      <c r="S501" s="14">
        <f t="shared" si="44"/>
        <v>40043.895462962959</v>
      </c>
      <c r="T501" s="14">
        <f t="shared" si="45"/>
        <v>40098.874305555553</v>
      </c>
      <c r="U501" s="64">
        <f t="shared" si="46"/>
        <v>54.978842592594447</v>
      </c>
      <c r="V501" s="13" t="str">
        <f t="shared" si="47"/>
        <v>underfunded</v>
      </c>
    </row>
    <row r="502" spans="1:22" ht="6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8307</v>
      </c>
      <c r="R502" t="s">
        <v>8313</v>
      </c>
      <c r="S502" s="14">
        <f t="shared" si="44"/>
        <v>40247.886006944449</v>
      </c>
      <c r="T502" s="14">
        <f t="shared" si="45"/>
        <v>40306.927777777775</v>
      </c>
      <c r="U502" s="64">
        <f t="shared" si="46"/>
        <v>59.041770833326154</v>
      </c>
      <c r="V502" s="13" t="str">
        <f t="shared" si="47"/>
        <v>underfunded</v>
      </c>
    </row>
    <row r="503" spans="1:22" ht="48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0" t="s">
        <v>8307</v>
      </c>
      <c r="R503" t="s">
        <v>8313</v>
      </c>
      <c r="S503" s="14">
        <f t="shared" si="44"/>
        <v>40703.234386574077</v>
      </c>
      <c r="T503" s="14">
        <f t="shared" si="45"/>
        <v>40733.234386574077</v>
      </c>
      <c r="U503" s="64">
        <f t="shared" si="46"/>
        <v>30</v>
      </c>
      <c r="V503" s="13" t="str">
        <f t="shared" si="47"/>
        <v>underfunded</v>
      </c>
    </row>
    <row r="504" spans="1:22" ht="48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8307</v>
      </c>
      <c r="R504" t="s">
        <v>8313</v>
      </c>
      <c r="S504" s="14">
        <f t="shared" si="44"/>
        <v>40956.553530092591</v>
      </c>
      <c r="T504" s="14">
        <f t="shared" si="45"/>
        <v>40986.511863425927</v>
      </c>
      <c r="U504" s="64">
        <f t="shared" si="46"/>
        <v>29.958333333335759</v>
      </c>
      <c r="V504" s="13" t="str">
        <f t="shared" si="47"/>
        <v>underfunded</v>
      </c>
    </row>
    <row r="505" spans="1:22" ht="48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8307</v>
      </c>
      <c r="R505" t="s">
        <v>8313</v>
      </c>
      <c r="S505" s="14">
        <f t="shared" si="44"/>
        <v>41991.526655092588</v>
      </c>
      <c r="T505" s="14">
        <f t="shared" si="45"/>
        <v>42021.526655092588</v>
      </c>
      <c r="U505" s="64">
        <f t="shared" si="46"/>
        <v>30</v>
      </c>
      <c r="V505" s="13" t="str">
        <f t="shared" si="47"/>
        <v>underfunded</v>
      </c>
    </row>
    <row r="506" spans="1:22" ht="48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8307</v>
      </c>
      <c r="R506" t="s">
        <v>8313</v>
      </c>
      <c r="S506" s="14">
        <f t="shared" si="44"/>
        <v>40949.98364583333</v>
      </c>
      <c r="T506" s="14">
        <f t="shared" si="45"/>
        <v>41009.941979166666</v>
      </c>
      <c r="U506" s="64">
        <f t="shared" si="46"/>
        <v>59.958333333335759</v>
      </c>
      <c r="V506" s="13" t="str">
        <f t="shared" si="47"/>
        <v>underfunded</v>
      </c>
    </row>
    <row r="507" spans="1:22" ht="48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0" t="s">
        <v>8307</v>
      </c>
      <c r="R507" t="s">
        <v>8313</v>
      </c>
      <c r="S507" s="14">
        <f t="shared" si="44"/>
        <v>42318.098217592589</v>
      </c>
      <c r="T507" s="14">
        <f t="shared" si="45"/>
        <v>42363.098217592589</v>
      </c>
      <c r="U507" s="64">
        <f t="shared" si="46"/>
        <v>45</v>
      </c>
      <c r="V507" s="13" t="str">
        <f t="shared" si="47"/>
        <v>underfunded</v>
      </c>
    </row>
    <row r="508" spans="1:22" ht="48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0" t="s">
        <v>8307</v>
      </c>
      <c r="R508" t="s">
        <v>8313</v>
      </c>
      <c r="S508" s="14">
        <f t="shared" si="44"/>
        <v>41466.552314814813</v>
      </c>
      <c r="T508" s="14">
        <f t="shared" si="45"/>
        <v>41496.552314814813</v>
      </c>
      <c r="U508" s="64">
        <f t="shared" si="46"/>
        <v>30</v>
      </c>
      <c r="V508" s="13" t="str">
        <f t="shared" si="47"/>
        <v>underfunded</v>
      </c>
    </row>
    <row r="509" spans="1:22" ht="48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8307</v>
      </c>
      <c r="R509" t="s">
        <v>8313</v>
      </c>
      <c r="S509" s="14">
        <f t="shared" si="44"/>
        <v>41156.958993055552</v>
      </c>
      <c r="T509" s="14">
        <f t="shared" si="45"/>
        <v>41201.958993055552</v>
      </c>
      <c r="U509" s="64">
        <f t="shared" si="46"/>
        <v>45</v>
      </c>
      <c r="V509" s="13" t="str">
        <f t="shared" si="47"/>
        <v>underfunded</v>
      </c>
    </row>
    <row r="510" spans="1:22" ht="48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8307</v>
      </c>
      <c r="R510" t="s">
        <v>8313</v>
      </c>
      <c r="S510" s="14">
        <f t="shared" si="44"/>
        <v>40995.024317129632</v>
      </c>
      <c r="T510" s="14">
        <f t="shared" si="45"/>
        <v>41054.593055555553</v>
      </c>
      <c r="U510" s="64">
        <f t="shared" si="46"/>
        <v>59.568738425921765</v>
      </c>
      <c r="V510" s="13" t="str">
        <f t="shared" si="47"/>
        <v>underfunded</v>
      </c>
    </row>
    <row r="511" spans="1:22" ht="48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0" t="s">
        <v>8307</v>
      </c>
      <c r="R511" t="s">
        <v>8313</v>
      </c>
      <c r="S511" s="14">
        <f t="shared" si="44"/>
        <v>42153.631597222222</v>
      </c>
      <c r="T511" s="14">
        <f t="shared" si="45"/>
        <v>42183.631597222222</v>
      </c>
      <c r="U511" s="64">
        <f t="shared" si="46"/>
        <v>30</v>
      </c>
      <c r="V511" s="13" t="str">
        <f t="shared" si="47"/>
        <v>underfunded</v>
      </c>
    </row>
    <row r="512" spans="1:22" ht="48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0" t="s">
        <v>8307</v>
      </c>
      <c r="R512" t="s">
        <v>8313</v>
      </c>
      <c r="S512" s="14">
        <f t="shared" si="44"/>
        <v>42400.176377314812</v>
      </c>
      <c r="T512" s="14">
        <f t="shared" si="45"/>
        <v>42430.176377314812</v>
      </c>
      <c r="U512" s="64">
        <f t="shared" si="46"/>
        <v>30</v>
      </c>
      <c r="V512" s="13" t="str">
        <f t="shared" si="47"/>
        <v>underfunded</v>
      </c>
    </row>
    <row r="513" spans="1:22" ht="48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8307</v>
      </c>
      <c r="R513" t="s">
        <v>8313</v>
      </c>
      <c r="S513" s="14">
        <f t="shared" si="44"/>
        <v>41340.303032407406</v>
      </c>
      <c r="T513" s="14">
        <f t="shared" si="45"/>
        <v>41370.261365740742</v>
      </c>
      <c r="U513" s="64">
        <f t="shared" si="46"/>
        <v>29.958333333335759</v>
      </c>
      <c r="V513" s="13" t="str">
        <f t="shared" si="47"/>
        <v>underfunded</v>
      </c>
    </row>
    <row r="514" spans="1:22" ht="48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>
        <f t="shared" si="43"/>
        <v>5.5</v>
      </c>
      <c r="Q514" s="10" t="s">
        <v>8307</v>
      </c>
      <c r="R514" t="s">
        <v>8313</v>
      </c>
      <c r="S514" s="14">
        <f t="shared" si="44"/>
        <v>42649.742210648154</v>
      </c>
      <c r="T514" s="14">
        <f t="shared" si="45"/>
        <v>42694.783877314811</v>
      </c>
      <c r="U514" s="64">
        <f t="shared" si="46"/>
        <v>45.041666666656965</v>
      </c>
      <c r="V514" s="13" t="str">
        <f t="shared" si="47"/>
        <v>underfunded</v>
      </c>
    </row>
    <row r="515" spans="1:22" ht="3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ROUND(E515/D515*100,0)</f>
        <v>14</v>
      </c>
      <c r="P515">
        <f t="shared" ref="P515:P578" si="49">IFERROR(ROUND(E515/L515,2), 0)</f>
        <v>102.38</v>
      </c>
      <c r="Q515" s="10" t="s">
        <v>8307</v>
      </c>
      <c r="R515" t="s">
        <v>8313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 s="64">
        <f t="shared" ref="U515:V578" si="52">T515-S515</f>
        <v>44.637673611112405</v>
      </c>
      <c r="V515" s="13" t="str">
        <f t="shared" ref="V515:V578" si="53">IF(E515&gt;=D515, "funded", "underfunded")</f>
        <v>underfunded</v>
      </c>
    </row>
    <row r="516" spans="1:22" ht="48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8307</v>
      </c>
      <c r="R516" t="s">
        <v>8313</v>
      </c>
      <c r="S516" s="14">
        <f t="shared" si="50"/>
        <v>41830.613969907405</v>
      </c>
      <c r="T516" s="14">
        <f t="shared" si="51"/>
        <v>41860.613969907405</v>
      </c>
      <c r="U516" s="64">
        <f t="shared" si="52"/>
        <v>30</v>
      </c>
      <c r="V516" s="13" t="str">
        <f t="shared" si="53"/>
        <v>underfunded</v>
      </c>
    </row>
    <row r="517" spans="1:22" ht="48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8307</v>
      </c>
      <c r="R517" t="s">
        <v>8313</v>
      </c>
      <c r="S517" s="14">
        <f t="shared" si="50"/>
        <v>42327.490752314814</v>
      </c>
      <c r="T517" s="14">
        <f t="shared" si="51"/>
        <v>42367.490752314814</v>
      </c>
      <c r="U517" s="64">
        <f t="shared" si="52"/>
        <v>40</v>
      </c>
      <c r="V517" s="13" t="str">
        <f t="shared" si="53"/>
        <v>underfunded</v>
      </c>
    </row>
    <row r="518" spans="1:22" ht="3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0" t="s">
        <v>8307</v>
      </c>
      <c r="R518" t="s">
        <v>8313</v>
      </c>
      <c r="S518" s="14">
        <f t="shared" si="50"/>
        <v>42091.778703703705</v>
      </c>
      <c r="T518" s="14">
        <f t="shared" si="51"/>
        <v>42151.778703703705</v>
      </c>
      <c r="U518" s="64">
        <f t="shared" si="52"/>
        <v>60</v>
      </c>
      <c r="V518" s="13" t="str">
        <f t="shared" si="53"/>
        <v>underfunded</v>
      </c>
    </row>
    <row r="519" spans="1:22" ht="48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8307</v>
      </c>
      <c r="R519" t="s">
        <v>8313</v>
      </c>
      <c r="S519" s="14">
        <f t="shared" si="50"/>
        <v>42738.615289351852</v>
      </c>
      <c r="T519" s="14">
        <f t="shared" si="51"/>
        <v>42768.615289351852</v>
      </c>
      <c r="U519" s="64">
        <f t="shared" si="52"/>
        <v>30</v>
      </c>
      <c r="V519" s="13" t="str">
        <f t="shared" si="53"/>
        <v>underfunded</v>
      </c>
    </row>
    <row r="520" spans="1:22" ht="48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0" t="s">
        <v>8307</v>
      </c>
      <c r="R520" t="s">
        <v>8313</v>
      </c>
      <c r="S520" s="14">
        <f t="shared" si="50"/>
        <v>42223.616018518514</v>
      </c>
      <c r="T520" s="14">
        <f t="shared" si="51"/>
        <v>42253.615277777775</v>
      </c>
      <c r="U520" s="64">
        <f t="shared" si="52"/>
        <v>29.999259259260725</v>
      </c>
      <c r="V520" s="13" t="str">
        <f t="shared" si="53"/>
        <v>underfunded</v>
      </c>
    </row>
    <row r="521" spans="1:22" ht="48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8307</v>
      </c>
      <c r="R521" t="s">
        <v>8313</v>
      </c>
      <c r="S521" s="14">
        <f t="shared" si="50"/>
        <v>41218.391446759262</v>
      </c>
      <c r="T521" s="14">
        <f t="shared" si="51"/>
        <v>41248.391446759262</v>
      </c>
      <c r="U521" s="64">
        <f t="shared" si="52"/>
        <v>30</v>
      </c>
      <c r="V521" s="13" t="str">
        <f t="shared" si="53"/>
        <v>underfunded</v>
      </c>
    </row>
    <row r="522" spans="1:22" ht="48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8314</v>
      </c>
      <c r="R522" t="s">
        <v>8315</v>
      </c>
      <c r="S522" s="14">
        <f t="shared" si="50"/>
        <v>42318.702094907407</v>
      </c>
      <c r="T522" s="14">
        <f t="shared" si="51"/>
        <v>42348.702094907407</v>
      </c>
      <c r="U522" s="64">
        <f t="shared" si="52"/>
        <v>30</v>
      </c>
      <c r="V522" s="13" t="str">
        <f t="shared" si="53"/>
        <v>funded</v>
      </c>
    </row>
    <row r="523" spans="1:22" ht="48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8314</v>
      </c>
      <c r="R523" t="s">
        <v>8315</v>
      </c>
      <c r="S523" s="14">
        <f t="shared" si="50"/>
        <v>42646.092812499999</v>
      </c>
      <c r="T523" s="14">
        <f t="shared" si="51"/>
        <v>42675.207638888889</v>
      </c>
      <c r="U523" s="64">
        <f t="shared" si="52"/>
        <v>29.114826388889924</v>
      </c>
      <c r="V523" s="13" t="str">
        <f t="shared" si="53"/>
        <v>funded</v>
      </c>
    </row>
    <row r="524" spans="1:22" ht="48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8314</v>
      </c>
      <c r="R524" t="s">
        <v>8315</v>
      </c>
      <c r="S524" s="14">
        <f t="shared" si="50"/>
        <v>42430.040798611109</v>
      </c>
      <c r="T524" s="14">
        <f t="shared" si="51"/>
        <v>42449.999131944445</v>
      </c>
      <c r="U524" s="64">
        <f t="shared" si="52"/>
        <v>19.958333333335759</v>
      </c>
      <c r="V524" s="13" t="str">
        <f t="shared" si="53"/>
        <v>funded</v>
      </c>
    </row>
    <row r="525" spans="1:22" ht="48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8314</v>
      </c>
      <c r="R525" t="s">
        <v>8315</v>
      </c>
      <c r="S525" s="14">
        <f t="shared" si="50"/>
        <v>42238.13282407407</v>
      </c>
      <c r="T525" s="14">
        <f t="shared" si="51"/>
        <v>42268.13282407407</v>
      </c>
      <c r="U525" s="64">
        <f t="shared" si="52"/>
        <v>30</v>
      </c>
      <c r="V525" s="13" t="str">
        <f t="shared" si="53"/>
        <v>funded</v>
      </c>
    </row>
    <row r="526" spans="1:22" ht="48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8314</v>
      </c>
      <c r="R526" t="s">
        <v>8315</v>
      </c>
      <c r="S526" s="14">
        <f t="shared" si="50"/>
        <v>42492.717233796298</v>
      </c>
      <c r="T526" s="14">
        <f t="shared" si="51"/>
        <v>42522.717233796298</v>
      </c>
      <c r="U526" s="64">
        <f t="shared" si="52"/>
        <v>30</v>
      </c>
      <c r="V526" s="13" t="str">
        <f t="shared" si="53"/>
        <v>funded</v>
      </c>
    </row>
    <row r="527" spans="1:22" ht="48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8314</v>
      </c>
      <c r="R527" t="s">
        <v>8315</v>
      </c>
      <c r="S527" s="14">
        <f t="shared" si="50"/>
        <v>41850.400937500002</v>
      </c>
      <c r="T527" s="14">
        <f t="shared" si="51"/>
        <v>41895.400937500002</v>
      </c>
      <c r="U527" s="64">
        <f t="shared" si="52"/>
        <v>45</v>
      </c>
      <c r="V527" s="13" t="str">
        <f t="shared" si="53"/>
        <v>funded</v>
      </c>
    </row>
    <row r="528" spans="1:22" ht="48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8314</v>
      </c>
      <c r="R528" t="s">
        <v>8315</v>
      </c>
      <c r="S528" s="14">
        <f t="shared" si="50"/>
        <v>42192.591944444444</v>
      </c>
      <c r="T528" s="14">
        <f t="shared" si="51"/>
        <v>42223.708333333328</v>
      </c>
      <c r="U528" s="64">
        <f t="shared" si="52"/>
        <v>31.116388888884103</v>
      </c>
      <c r="V528" s="13" t="str">
        <f t="shared" si="53"/>
        <v>funded</v>
      </c>
    </row>
    <row r="529" spans="1:22" ht="48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8314</v>
      </c>
      <c r="R529" t="s">
        <v>8315</v>
      </c>
      <c r="S529" s="14">
        <f t="shared" si="50"/>
        <v>42753.205625000002</v>
      </c>
      <c r="T529" s="14">
        <f t="shared" si="51"/>
        <v>42783.670138888891</v>
      </c>
      <c r="U529" s="64">
        <f t="shared" si="52"/>
        <v>30.464513888888177</v>
      </c>
      <c r="V529" s="13" t="str">
        <f t="shared" si="53"/>
        <v>funded</v>
      </c>
    </row>
    <row r="530" spans="1:22" ht="16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8314</v>
      </c>
      <c r="R530" t="s">
        <v>8315</v>
      </c>
      <c r="S530" s="14">
        <f t="shared" si="50"/>
        <v>42155.920219907406</v>
      </c>
      <c r="T530" s="14">
        <f t="shared" si="51"/>
        <v>42176.888888888891</v>
      </c>
      <c r="U530" s="64">
        <f t="shared" si="52"/>
        <v>20.96866898148437</v>
      </c>
      <c r="V530" s="13" t="str">
        <f t="shared" si="53"/>
        <v>funded</v>
      </c>
    </row>
    <row r="531" spans="1:22" ht="48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8314</v>
      </c>
      <c r="R531" t="s">
        <v>8315</v>
      </c>
      <c r="S531" s="14">
        <f t="shared" si="50"/>
        <v>42725.031180555554</v>
      </c>
      <c r="T531" s="14">
        <f t="shared" si="51"/>
        <v>42746.208333333328</v>
      </c>
      <c r="U531" s="64">
        <f t="shared" si="52"/>
        <v>21.177152777774609</v>
      </c>
      <c r="V531" s="13" t="str">
        <f t="shared" si="53"/>
        <v>funded</v>
      </c>
    </row>
    <row r="532" spans="1:22" ht="48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8314</v>
      </c>
      <c r="R532" t="s">
        <v>8315</v>
      </c>
      <c r="S532" s="14">
        <f t="shared" si="50"/>
        <v>42157.591064814813</v>
      </c>
      <c r="T532" s="14">
        <f t="shared" si="51"/>
        <v>42179.083333333328</v>
      </c>
      <c r="U532" s="64">
        <f t="shared" si="52"/>
        <v>21.49226851851563</v>
      </c>
      <c r="V532" s="13" t="str">
        <f t="shared" si="53"/>
        <v>funded</v>
      </c>
    </row>
    <row r="533" spans="1:22" ht="48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8314</v>
      </c>
      <c r="R533" t="s">
        <v>8315</v>
      </c>
      <c r="S533" s="14">
        <f t="shared" si="50"/>
        <v>42676.065150462964</v>
      </c>
      <c r="T533" s="14">
        <f t="shared" si="51"/>
        <v>42721.290972222225</v>
      </c>
      <c r="U533" s="64">
        <f t="shared" si="52"/>
        <v>45.225821759260725</v>
      </c>
      <c r="V533" s="13" t="str">
        <f t="shared" si="53"/>
        <v>funded</v>
      </c>
    </row>
    <row r="534" spans="1:22" ht="48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8314</v>
      </c>
      <c r="R534" t="s">
        <v>8315</v>
      </c>
      <c r="S534" s="14">
        <f t="shared" si="50"/>
        <v>42473.007037037038</v>
      </c>
      <c r="T534" s="14">
        <f t="shared" si="51"/>
        <v>42503.007037037038</v>
      </c>
      <c r="U534" s="64">
        <f t="shared" si="52"/>
        <v>30</v>
      </c>
      <c r="V534" s="13" t="str">
        <f t="shared" si="53"/>
        <v>funded</v>
      </c>
    </row>
    <row r="535" spans="1:22" ht="48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8314</v>
      </c>
      <c r="R535" t="s">
        <v>8315</v>
      </c>
      <c r="S535" s="14">
        <f t="shared" si="50"/>
        <v>42482.43478009259</v>
      </c>
      <c r="T535" s="14">
        <f t="shared" si="51"/>
        <v>42506.43478009259</v>
      </c>
      <c r="U535" s="64">
        <f t="shared" si="52"/>
        <v>24</v>
      </c>
      <c r="V535" s="13" t="str">
        <f t="shared" si="53"/>
        <v>funded</v>
      </c>
    </row>
    <row r="536" spans="1:22" ht="48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8314</v>
      </c>
      <c r="R536" t="s">
        <v>8315</v>
      </c>
      <c r="S536" s="14">
        <f t="shared" si="50"/>
        <v>42270.810995370368</v>
      </c>
      <c r="T536" s="14">
        <f t="shared" si="51"/>
        <v>42309.958333333328</v>
      </c>
      <c r="U536" s="64">
        <f t="shared" si="52"/>
        <v>39.147337962960592</v>
      </c>
      <c r="V536" s="13" t="str">
        <f t="shared" si="53"/>
        <v>funded</v>
      </c>
    </row>
    <row r="537" spans="1:22" ht="3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8314</v>
      </c>
      <c r="R537" t="s">
        <v>8315</v>
      </c>
      <c r="S537" s="14">
        <f t="shared" si="50"/>
        <v>42711.545196759253</v>
      </c>
      <c r="T537" s="14">
        <f t="shared" si="51"/>
        <v>42741.545196759253</v>
      </c>
      <c r="U537" s="64">
        <f t="shared" si="52"/>
        <v>30</v>
      </c>
      <c r="V537" s="13" t="str">
        <f t="shared" si="53"/>
        <v>funded</v>
      </c>
    </row>
    <row r="538" spans="1:22" ht="48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8314</v>
      </c>
      <c r="R538" t="s">
        <v>8315</v>
      </c>
      <c r="S538" s="14">
        <f t="shared" si="50"/>
        <v>42179.344988425932</v>
      </c>
      <c r="T538" s="14">
        <f t="shared" si="51"/>
        <v>42219.75</v>
      </c>
      <c r="U538" s="64">
        <f t="shared" si="52"/>
        <v>40.40501157406834</v>
      </c>
      <c r="V538" s="13" t="str">
        <f t="shared" si="53"/>
        <v>funded</v>
      </c>
    </row>
    <row r="539" spans="1:22" ht="48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8314</v>
      </c>
      <c r="R539" t="s">
        <v>8315</v>
      </c>
      <c r="S539" s="14">
        <f t="shared" si="50"/>
        <v>42282.768414351856</v>
      </c>
      <c r="T539" s="14">
        <f t="shared" si="51"/>
        <v>42312.810081018513</v>
      </c>
      <c r="U539" s="64">
        <f t="shared" si="52"/>
        <v>30.041666666656965</v>
      </c>
      <c r="V539" s="13" t="str">
        <f t="shared" si="53"/>
        <v>funded</v>
      </c>
    </row>
    <row r="540" spans="1:22" ht="48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8314</v>
      </c>
      <c r="R540" t="s">
        <v>8315</v>
      </c>
      <c r="S540" s="14">
        <f t="shared" si="50"/>
        <v>42473.794710648144</v>
      </c>
      <c r="T540" s="14">
        <f t="shared" si="51"/>
        <v>42503.794710648144</v>
      </c>
      <c r="U540" s="64">
        <f t="shared" si="52"/>
        <v>30</v>
      </c>
      <c r="V540" s="13" t="str">
        <f t="shared" si="53"/>
        <v>funded</v>
      </c>
    </row>
    <row r="541" spans="1:22" ht="48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8314</v>
      </c>
      <c r="R541" t="s">
        <v>8315</v>
      </c>
      <c r="S541" s="14">
        <f t="shared" si="50"/>
        <v>42535.049849537041</v>
      </c>
      <c r="T541" s="14">
        <f t="shared" si="51"/>
        <v>42556.049849537041</v>
      </c>
      <c r="U541" s="64">
        <f t="shared" si="52"/>
        <v>21</v>
      </c>
      <c r="V541" s="13" t="str">
        <f t="shared" si="53"/>
        <v>funded</v>
      </c>
    </row>
    <row r="542" spans="1:22" ht="6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0" t="s">
        <v>8316</v>
      </c>
      <c r="R542" t="s">
        <v>8317</v>
      </c>
      <c r="S542" s="14">
        <f t="shared" si="50"/>
        <v>42009.817199074074</v>
      </c>
      <c r="T542" s="14">
        <f t="shared" si="51"/>
        <v>42039.817199074074</v>
      </c>
      <c r="U542" s="64">
        <f t="shared" si="52"/>
        <v>30</v>
      </c>
      <c r="V542" s="13" t="str">
        <f t="shared" si="53"/>
        <v>underfunded</v>
      </c>
    </row>
    <row r="543" spans="1:22" ht="48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8316</v>
      </c>
      <c r="R543" t="s">
        <v>8317</v>
      </c>
      <c r="S543" s="14">
        <f t="shared" si="50"/>
        <v>42276.046689814815</v>
      </c>
      <c r="T543" s="14">
        <f t="shared" si="51"/>
        <v>42306.046689814815</v>
      </c>
      <c r="U543" s="64">
        <f t="shared" si="52"/>
        <v>30</v>
      </c>
      <c r="V543" s="13" t="str">
        <f t="shared" si="53"/>
        <v>underfunded</v>
      </c>
    </row>
    <row r="544" spans="1:22" ht="48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0" t="s">
        <v>8316</v>
      </c>
      <c r="R544" t="s">
        <v>8317</v>
      </c>
      <c r="S544" s="14">
        <f t="shared" si="50"/>
        <v>42433.737453703703</v>
      </c>
      <c r="T544" s="14">
        <f t="shared" si="51"/>
        <v>42493.695787037039</v>
      </c>
      <c r="U544" s="64">
        <f t="shared" si="52"/>
        <v>59.958333333335759</v>
      </c>
      <c r="V544" s="13" t="str">
        <f t="shared" si="53"/>
        <v>underfunded</v>
      </c>
    </row>
    <row r="545" spans="1:22" ht="48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0" t="s">
        <v>8316</v>
      </c>
      <c r="R545" t="s">
        <v>8317</v>
      </c>
      <c r="S545" s="14">
        <f t="shared" si="50"/>
        <v>41914.092152777775</v>
      </c>
      <c r="T545" s="14">
        <f t="shared" si="51"/>
        <v>41944.092152777775</v>
      </c>
      <c r="U545" s="64">
        <f t="shared" si="52"/>
        <v>30</v>
      </c>
      <c r="V545" s="13" t="str">
        <f t="shared" si="53"/>
        <v>underfunded</v>
      </c>
    </row>
    <row r="546" spans="1:22" ht="48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8316</v>
      </c>
      <c r="R546" t="s">
        <v>8317</v>
      </c>
      <c r="S546" s="14">
        <f t="shared" si="50"/>
        <v>42525.656944444447</v>
      </c>
      <c r="T546" s="14">
        <f t="shared" si="51"/>
        <v>42555.656944444447</v>
      </c>
      <c r="U546" s="64">
        <f t="shared" si="52"/>
        <v>30</v>
      </c>
      <c r="V546" s="13" t="str">
        <f t="shared" si="53"/>
        <v>underfunded</v>
      </c>
    </row>
    <row r="547" spans="1:22" ht="48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8316</v>
      </c>
      <c r="R547" t="s">
        <v>8317</v>
      </c>
      <c r="S547" s="14">
        <f t="shared" si="50"/>
        <v>42283.592465277776</v>
      </c>
      <c r="T547" s="14">
        <f t="shared" si="51"/>
        <v>42323.634131944447</v>
      </c>
      <c r="U547" s="64">
        <f t="shared" si="52"/>
        <v>40.041666666671517</v>
      </c>
      <c r="V547" s="13" t="str">
        <f t="shared" si="53"/>
        <v>underfunded</v>
      </c>
    </row>
    <row r="548" spans="1:22" ht="48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0" t="s">
        <v>8316</v>
      </c>
      <c r="R548" t="s">
        <v>8317</v>
      </c>
      <c r="S548" s="14">
        <f t="shared" si="50"/>
        <v>42249.667997685188</v>
      </c>
      <c r="T548" s="14">
        <f t="shared" si="51"/>
        <v>42294.667997685188</v>
      </c>
      <c r="U548" s="64">
        <f t="shared" si="52"/>
        <v>45</v>
      </c>
      <c r="V548" s="13" t="str">
        <f t="shared" si="53"/>
        <v>underfunded</v>
      </c>
    </row>
    <row r="549" spans="1:22" ht="48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0" t="s">
        <v>8316</v>
      </c>
      <c r="R549" t="s">
        <v>8317</v>
      </c>
      <c r="S549" s="14">
        <f t="shared" si="50"/>
        <v>42380.696342592593</v>
      </c>
      <c r="T549" s="14">
        <f t="shared" si="51"/>
        <v>42410.696342592593</v>
      </c>
      <c r="U549" s="64">
        <f t="shared" si="52"/>
        <v>30</v>
      </c>
      <c r="V549" s="13" t="str">
        <f t="shared" si="53"/>
        <v>underfunded</v>
      </c>
    </row>
    <row r="550" spans="1:22" ht="48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0" t="s">
        <v>8316</v>
      </c>
      <c r="R550" t="s">
        <v>8317</v>
      </c>
      <c r="S550" s="14">
        <f t="shared" si="50"/>
        <v>42276.903333333335</v>
      </c>
      <c r="T550" s="14">
        <f t="shared" si="51"/>
        <v>42306.903333333335</v>
      </c>
      <c r="U550" s="64">
        <f t="shared" si="52"/>
        <v>30</v>
      </c>
      <c r="V550" s="13" t="str">
        <f t="shared" si="53"/>
        <v>underfunded</v>
      </c>
    </row>
    <row r="551" spans="1:22" ht="48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8316</v>
      </c>
      <c r="R551" t="s">
        <v>8317</v>
      </c>
      <c r="S551" s="14">
        <f t="shared" si="50"/>
        <v>42163.636828703704</v>
      </c>
      <c r="T551" s="14">
        <f t="shared" si="51"/>
        <v>42193.636828703704</v>
      </c>
      <c r="U551" s="64">
        <f t="shared" si="52"/>
        <v>30</v>
      </c>
      <c r="V551" s="13" t="str">
        <f t="shared" si="53"/>
        <v>underfunded</v>
      </c>
    </row>
    <row r="552" spans="1:22" ht="48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8316</v>
      </c>
      <c r="R552" t="s">
        <v>8317</v>
      </c>
      <c r="S552" s="14">
        <f t="shared" si="50"/>
        <v>42753.678761574076</v>
      </c>
      <c r="T552" s="14">
        <f t="shared" si="51"/>
        <v>42766.208333333328</v>
      </c>
      <c r="U552" s="64">
        <f t="shared" si="52"/>
        <v>12.529571759252576</v>
      </c>
      <c r="V552" s="13" t="str">
        <f t="shared" si="53"/>
        <v>underfunded</v>
      </c>
    </row>
    <row r="553" spans="1:22" ht="48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8316</v>
      </c>
      <c r="R553" t="s">
        <v>8317</v>
      </c>
      <c r="S553" s="14">
        <f t="shared" si="50"/>
        <v>42173.275740740741</v>
      </c>
      <c r="T553" s="14">
        <f t="shared" si="51"/>
        <v>42217.745138888888</v>
      </c>
      <c r="U553" s="64">
        <f t="shared" si="52"/>
        <v>44.469398148146865</v>
      </c>
      <c r="V553" s="13" t="str">
        <f t="shared" si="53"/>
        <v>underfunded</v>
      </c>
    </row>
    <row r="554" spans="1:22" ht="48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0" t="s">
        <v>8316</v>
      </c>
      <c r="R554" t="s">
        <v>8317</v>
      </c>
      <c r="S554" s="14">
        <f t="shared" si="50"/>
        <v>42318.616851851853</v>
      </c>
      <c r="T554" s="14">
        <f t="shared" si="51"/>
        <v>42378.616851851853</v>
      </c>
      <c r="U554" s="64">
        <f t="shared" si="52"/>
        <v>60</v>
      </c>
      <c r="V554" s="13" t="str">
        <f t="shared" si="53"/>
        <v>underfunded</v>
      </c>
    </row>
    <row r="555" spans="1:22" ht="48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0" t="s">
        <v>8316</v>
      </c>
      <c r="R555" t="s">
        <v>8317</v>
      </c>
      <c r="S555" s="14">
        <f t="shared" si="50"/>
        <v>41927.71980324074</v>
      </c>
      <c r="T555" s="14">
        <f t="shared" si="51"/>
        <v>41957.761469907404</v>
      </c>
      <c r="U555" s="64">
        <f t="shared" si="52"/>
        <v>30.041666666664241</v>
      </c>
      <c r="V555" s="13" t="str">
        <f t="shared" si="53"/>
        <v>underfunded</v>
      </c>
    </row>
    <row r="556" spans="1:22" ht="48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8316</v>
      </c>
      <c r="R556" t="s">
        <v>8317</v>
      </c>
      <c r="S556" s="14">
        <f t="shared" si="50"/>
        <v>41901.684861111113</v>
      </c>
      <c r="T556" s="14">
        <f t="shared" si="51"/>
        <v>41931.684861111113</v>
      </c>
      <c r="U556" s="64">
        <f t="shared" si="52"/>
        <v>30</v>
      </c>
      <c r="V556" s="13" t="str">
        <f t="shared" si="53"/>
        <v>underfunded</v>
      </c>
    </row>
    <row r="557" spans="1:22" ht="48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0" t="s">
        <v>8316</v>
      </c>
      <c r="R557" t="s">
        <v>8317</v>
      </c>
      <c r="S557" s="14">
        <f t="shared" si="50"/>
        <v>42503.353506944448</v>
      </c>
      <c r="T557" s="14">
        <f t="shared" si="51"/>
        <v>42533.353506944448</v>
      </c>
      <c r="U557" s="64">
        <f t="shared" si="52"/>
        <v>30</v>
      </c>
      <c r="V557" s="13" t="str">
        <f t="shared" si="53"/>
        <v>underfunded</v>
      </c>
    </row>
    <row r="558" spans="1:22" ht="3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8316</v>
      </c>
      <c r="R558" t="s">
        <v>8317</v>
      </c>
      <c r="S558" s="14">
        <f t="shared" si="50"/>
        <v>42345.860150462962</v>
      </c>
      <c r="T558" s="14">
        <f t="shared" si="51"/>
        <v>42375.860150462962</v>
      </c>
      <c r="U558" s="64">
        <f t="shared" si="52"/>
        <v>30</v>
      </c>
      <c r="V558" s="13" t="str">
        <f t="shared" si="53"/>
        <v>underfunded</v>
      </c>
    </row>
    <row r="559" spans="1:22" ht="48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8316</v>
      </c>
      <c r="R559" t="s">
        <v>8317</v>
      </c>
      <c r="S559" s="14">
        <f t="shared" si="50"/>
        <v>42676.942164351851</v>
      </c>
      <c r="T559" s="14">
        <f t="shared" si="51"/>
        <v>42706.983831018515</v>
      </c>
      <c r="U559" s="64">
        <f t="shared" si="52"/>
        <v>30.041666666664241</v>
      </c>
      <c r="V559" s="13" t="str">
        <f t="shared" si="53"/>
        <v>underfunded</v>
      </c>
    </row>
    <row r="560" spans="1:22" ht="48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0" t="s">
        <v>8316</v>
      </c>
      <c r="R560" t="s">
        <v>8317</v>
      </c>
      <c r="S560" s="14">
        <f t="shared" si="50"/>
        <v>42057.883159722223</v>
      </c>
      <c r="T560" s="14">
        <f t="shared" si="51"/>
        <v>42087.841493055559</v>
      </c>
      <c r="U560" s="64">
        <f t="shared" si="52"/>
        <v>29.958333333335759</v>
      </c>
      <c r="V560" s="13" t="str">
        <f t="shared" si="53"/>
        <v>underfunded</v>
      </c>
    </row>
    <row r="561" spans="1:22" ht="48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0" t="s">
        <v>8316</v>
      </c>
      <c r="R561" t="s">
        <v>8317</v>
      </c>
      <c r="S561" s="14">
        <f t="shared" si="50"/>
        <v>42321.283101851848</v>
      </c>
      <c r="T561" s="14">
        <f t="shared" si="51"/>
        <v>42351.283101851848</v>
      </c>
      <c r="U561" s="64">
        <f t="shared" si="52"/>
        <v>30</v>
      </c>
      <c r="V561" s="13" t="str">
        <f t="shared" si="53"/>
        <v>underfunded</v>
      </c>
    </row>
    <row r="562" spans="1:22" ht="48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0" t="s">
        <v>8316</v>
      </c>
      <c r="R562" t="s">
        <v>8317</v>
      </c>
      <c r="S562" s="14">
        <f t="shared" si="50"/>
        <v>41960.771354166667</v>
      </c>
      <c r="T562" s="14">
        <f t="shared" si="51"/>
        <v>41990.771354166667</v>
      </c>
      <c r="U562" s="64">
        <f t="shared" si="52"/>
        <v>30</v>
      </c>
      <c r="V562" s="13" t="str">
        <f t="shared" si="53"/>
        <v>underfunded</v>
      </c>
    </row>
    <row r="563" spans="1:22" ht="48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0" t="s">
        <v>8316</v>
      </c>
      <c r="R563" t="s">
        <v>8317</v>
      </c>
      <c r="S563" s="14">
        <f t="shared" si="50"/>
        <v>42268.658715277779</v>
      </c>
      <c r="T563" s="14">
        <f t="shared" si="51"/>
        <v>42303.658715277779</v>
      </c>
      <c r="U563" s="64">
        <f t="shared" si="52"/>
        <v>35</v>
      </c>
      <c r="V563" s="13" t="str">
        <f t="shared" si="53"/>
        <v>underfunded</v>
      </c>
    </row>
    <row r="564" spans="1:22" ht="48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0" t="s">
        <v>8316</v>
      </c>
      <c r="R564" t="s">
        <v>8317</v>
      </c>
      <c r="S564" s="14">
        <f t="shared" si="50"/>
        <v>42692.389062500006</v>
      </c>
      <c r="T564" s="14">
        <f t="shared" si="51"/>
        <v>42722.389062500006</v>
      </c>
      <c r="U564" s="64">
        <f t="shared" si="52"/>
        <v>30</v>
      </c>
      <c r="V564" s="13" t="str">
        <f t="shared" si="53"/>
        <v>underfunded</v>
      </c>
    </row>
    <row r="565" spans="1:22" ht="48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0" t="s">
        <v>8316</v>
      </c>
      <c r="R565" t="s">
        <v>8317</v>
      </c>
      <c r="S565" s="14">
        <f t="shared" si="50"/>
        <v>42022.069988425923</v>
      </c>
      <c r="T565" s="14">
        <f t="shared" si="51"/>
        <v>42052.069988425923</v>
      </c>
      <c r="U565" s="64">
        <f t="shared" si="52"/>
        <v>30</v>
      </c>
      <c r="V565" s="13" t="str">
        <f t="shared" si="53"/>
        <v>underfunded</v>
      </c>
    </row>
    <row r="566" spans="1:22" ht="48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0" t="s">
        <v>8316</v>
      </c>
      <c r="R566" t="s">
        <v>8317</v>
      </c>
      <c r="S566" s="14">
        <f t="shared" si="50"/>
        <v>42411.942997685182</v>
      </c>
      <c r="T566" s="14">
        <f t="shared" si="51"/>
        <v>42441.942997685182</v>
      </c>
      <c r="U566" s="64">
        <f t="shared" si="52"/>
        <v>30</v>
      </c>
      <c r="V566" s="13" t="str">
        <f t="shared" si="53"/>
        <v>underfunded</v>
      </c>
    </row>
    <row r="567" spans="1:22" ht="48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0" t="s">
        <v>8316</v>
      </c>
      <c r="R567" t="s">
        <v>8317</v>
      </c>
      <c r="S567" s="14">
        <f t="shared" si="50"/>
        <v>42165.785289351858</v>
      </c>
      <c r="T567" s="14">
        <f t="shared" si="51"/>
        <v>42195.785289351858</v>
      </c>
      <c r="U567" s="64">
        <f t="shared" si="52"/>
        <v>30</v>
      </c>
      <c r="V567" s="13" t="str">
        <f t="shared" si="53"/>
        <v>underfunded</v>
      </c>
    </row>
    <row r="568" spans="1:22" ht="48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0" t="s">
        <v>8316</v>
      </c>
      <c r="R568" t="s">
        <v>8317</v>
      </c>
      <c r="S568" s="14">
        <f t="shared" si="50"/>
        <v>42535.68440972222</v>
      </c>
      <c r="T568" s="14">
        <f t="shared" si="51"/>
        <v>42565.68440972222</v>
      </c>
      <c r="U568" s="64">
        <f t="shared" si="52"/>
        <v>30</v>
      </c>
      <c r="V568" s="13" t="str">
        <f t="shared" si="53"/>
        <v>underfunded</v>
      </c>
    </row>
    <row r="569" spans="1:22" ht="48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0" t="s">
        <v>8316</v>
      </c>
      <c r="R569" t="s">
        <v>8317</v>
      </c>
      <c r="S569" s="14">
        <f t="shared" si="50"/>
        <v>41975.842523148152</v>
      </c>
      <c r="T569" s="14">
        <f t="shared" si="51"/>
        <v>42005.842523148152</v>
      </c>
      <c r="U569" s="64">
        <f t="shared" si="52"/>
        <v>30</v>
      </c>
      <c r="V569" s="13" t="str">
        <f t="shared" si="53"/>
        <v>underfunded</v>
      </c>
    </row>
    <row r="570" spans="1:22" ht="6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8316</v>
      </c>
      <c r="R570" t="s">
        <v>8317</v>
      </c>
      <c r="S570" s="14">
        <f t="shared" si="50"/>
        <v>42348.9215625</v>
      </c>
      <c r="T570" s="14">
        <f t="shared" si="51"/>
        <v>42385.458333333328</v>
      </c>
      <c r="U570" s="64">
        <f t="shared" si="52"/>
        <v>36.536770833328774</v>
      </c>
      <c r="V570" s="13" t="str">
        <f t="shared" si="53"/>
        <v>underfunded</v>
      </c>
    </row>
    <row r="571" spans="1:22" ht="48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8316</v>
      </c>
      <c r="R571" t="s">
        <v>8317</v>
      </c>
      <c r="S571" s="14">
        <f t="shared" si="50"/>
        <v>42340.847361111111</v>
      </c>
      <c r="T571" s="14">
        <f t="shared" si="51"/>
        <v>42370.847361111111</v>
      </c>
      <c r="U571" s="64">
        <f t="shared" si="52"/>
        <v>30</v>
      </c>
      <c r="V571" s="13" t="str">
        <f t="shared" si="53"/>
        <v>underfunded</v>
      </c>
    </row>
    <row r="572" spans="1:22" ht="3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0" t="s">
        <v>8316</v>
      </c>
      <c r="R572" t="s">
        <v>8317</v>
      </c>
      <c r="S572" s="14">
        <f t="shared" si="50"/>
        <v>42388.798252314817</v>
      </c>
      <c r="T572" s="14">
        <f t="shared" si="51"/>
        <v>42418.798252314817</v>
      </c>
      <c r="U572" s="64">
        <f t="shared" si="52"/>
        <v>30</v>
      </c>
      <c r="V572" s="13" t="str">
        <f t="shared" si="53"/>
        <v>underfunded</v>
      </c>
    </row>
    <row r="573" spans="1:22" ht="48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0" t="s">
        <v>8316</v>
      </c>
      <c r="R573" t="s">
        <v>8317</v>
      </c>
      <c r="S573" s="14">
        <f t="shared" si="50"/>
        <v>42192.816238425927</v>
      </c>
      <c r="T573" s="14">
        <f t="shared" si="51"/>
        <v>42212.165972222225</v>
      </c>
      <c r="U573" s="64">
        <f t="shared" si="52"/>
        <v>19.349733796298096</v>
      </c>
      <c r="V573" s="13" t="str">
        <f t="shared" si="53"/>
        <v>underfunded</v>
      </c>
    </row>
    <row r="574" spans="1:22" ht="48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0" t="s">
        <v>8316</v>
      </c>
      <c r="R574" t="s">
        <v>8317</v>
      </c>
      <c r="S574" s="14">
        <f t="shared" si="50"/>
        <v>42282.71629629629</v>
      </c>
      <c r="T574" s="14">
        <f t="shared" si="51"/>
        <v>42312.757962962962</v>
      </c>
      <c r="U574" s="64">
        <f t="shared" si="52"/>
        <v>30.041666666671517</v>
      </c>
      <c r="V574" s="13" t="str">
        <f t="shared" si="53"/>
        <v>underfunded</v>
      </c>
    </row>
    <row r="575" spans="1:22" ht="48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0" t="s">
        <v>8316</v>
      </c>
      <c r="R575" t="s">
        <v>8317</v>
      </c>
      <c r="S575" s="14">
        <f t="shared" si="50"/>
        <v>41963.050127314811</v>
      </c>
      <c r="T575" s="14">
        <f t="shared" si="51"/>
        <v>42022.05</v>
      </c>
      <c r="U575" s="64">
        <f t="shared" si="52"/>
        <v>58.999872685191804</v>
      </c>
      <c r="V575" s="13" t="str">
        <f t="shared" si="53"/>
        <v>underfunded</v>
      </c>
    </row>
    <row r="576" spans="1:22" ht="48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8316</v>
      </c>
      <c r="R576" t="s">
        <v>8317</v>
      </c>
      <c r="S576" s="14">
        <f t="shared" si="50"/>
        <v>42632.443368055552</v>
      </c>
      <c r="T576" s="14">
        <f t="shared" si="51"/>
        <v>42662.443368055552</v>
      </c>
      <c r="U576" s="64">
        <f t="shared" si="52"/>
        <v>30</v>
      </c>
      <c r="V576" s="13" t="str">
        <f t="shared" si="53"/>
        <v>underfunded</v>
      </c>
    </row>
    <row r="577" spans="1:22" ht="48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0" t="s">
        <v>8316</v>
      </c>
      <c r="R577" t="s">
        <v>8317</v>
      </c>
      <c r="S577" s="14">
        <f t="shared" si="50"/>
        <v>42138.692627314813</v>
      </c>
      <c r="T577" s="14">
        <f t="shared" si="51"/>
        <v>42168.692627314813</v>
      </c>
      <c r="U577" s="64">
        <f t="shared" si="52"/>
        <v>30</v>
      </c>
      <c r="V577" s="13" t="str">
        <f t="shared" si="53"/>
        <v>underfunded</v>
      </c>
    </row>
    <row r="578" spans="1:22" ht="48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0</v>
      </c>
      <c r="P578">
        <f t="shared" si="49"/>
        <v>1</v>
      </c>
      <c r="Q578" s="10" t="s">
        <v>8316</v>
      </c>
      <c r="R578" t="s">
        <v>8317</v>
      </c>
      <c r="S578" s="14">
        <f t="shared" si="50"/>
        <v>42031.471666666665</v>
      </c>
      <c r="T578" s="14">
        <f t="shared" si="51"/>
        <v>42091.43</v>
      </c>
      <c r="U578" s="64">
        <f t="shared" si="52"/>
        <v>59.958333333335759</v>
      </c>
      <c r="V578" s="13" t="str">
        <f t="shared" si="53"/>
        <v>underfunded</v>
      </c>
    </row>
    <row r="579" spans="1:22" ht="48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ROUND(E579/D579*100,0)</f>
        <v>0</v>
      </c>
      <c r="P579">
        <f t="shared" ref="P579:P642" si="55">IFERROR(ROUND(E579/L579,2), 0)</f>
        <v>10</v>
      </c>
      <c r="Q579" s="10" t="s">
        <v>8316</v>
      </c>
      <c r="R579" t="s">
        <v>8317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 s="64">
        <f t="shared" ref="U579:V642" si="58">T579-S579</f>
        <v>60</v>
      </c>
      <c r="V579" s="13" t="str">
        <f t="shared" ref="V579:V642" si="59">IF(E579&gt;=D579, "funded", "underfunded")</f>
        <v>underfunded</v>
      </c>
    </row>
    <row r="580" spans="1:22" ht="3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0" t="s">
        <v>8316</v>
      </c>
      <c r="R580" t="s">
        <v>8317</v>
      </c>
      <c r="S580" s="14">
        <f t="shared" si="56"/>
        <v>42230.578622685185</v>
      </c>
      <c r="T580" s="14">
        <f t="shared" si="57"/>
        <v>42254.578622685185</v>
      </c>
      <c r="U580" s="64">
        <f t="shared" si="58"/>
        <v>24</v>
      </c>
      <c r="V580" s="13" t="str">
        <f t="shared" si="59"/>
        <v>underfunded</v>
      </c>
    </row>
    <row r="581" spans="1:22" ht="3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8316</v>
      </c>
      <c r="R581" t="s">
        <v>8317</v>
      </c>
      <c r="S581" s="14">
        <f t="shared" si="56"/>
        <v>41968.852118055554</v>
      </c>
      <c r="T581" s="14">
        <f t="shared" si="57"/>
        <v>41998.852118055554</v>
      </c>
      <c r="U581" s="64">
        <f t="shared" si="58"/>
        <v>30</v>
      </c>
      <c r="V581" s="13" t="str">
        <f t="shared" si="59"/>
        <v>underfunded</v>
      </c>
    </row>
    <row r="582" spans="1:22" ht="48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0" t="s">
        <v>8316</v>
      </c>
      <c r="R582" t="s">
        <v>8317</v>
      </c>
      <c r="S582" s="14">
        <f t="shared" si="56"/>
        <v>42605.908182870371</v>
      </c>
      <c r="T582" s="14">
        <f t="shared" si="57"/>
        <v>42635.908182870371</v>
      </c>
      <c r="U582" s="64">
        <f t="shared" si="58"/>
        <v>30</v>
      </c>
      <c r="V582" s="13" t="str">
        <f t="shared" si="59"/>
        <v>underfunded</v>
      </c>
    </row>
    <row r="583" spans="1:22" ht="48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0" t="s">
        <v>8316</v>
      </c>
      <c r="R583" t="s">
        <v>8317</v>
      </c>
      <c r="S583" s="14">
        <f t="shared" si="56"/>
        <v>42188.012777777782</v>
      </c>
      <c r="T583" s="14">
        <f t="shared" si="57"/>
        <v>42218.012777777782</v>
      </c>
      <c r="U583" s="64">
        <f t="shared" si="58"/>
        <v>30</v>
      </c>
      <c r="V583" s="13" t="str">
        <f t="shared" si="59"/>
        <v>underfunded</v>
      </c>
    </row>
    <row r="584" spans="1:22" ht="48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0" t="s">
        <v>8316</v>
      </c>
      <c r="R584" t="s">
        <v>8317</v>
      </c>
      <c r="S584" s="14">
        <f t="shared" si="56"/>
        <v>42055.739803240736</v>
      </c>
      <c r="T584" s="14">
        <f t="shared" si="57"/>
        <v>42078.75</v>
      </c>
      <c r="U584" s="64">
        <f t="shared" si="58"/>
        <v>23.010196759263636</v>
      </c>
      <c r="V584" s="13" t="str">
        <f t="shared" si="59"/>
        <v>underfunded</v>
      </c>
    </row>
    <row r="585" spans="1:22" ht="3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0" t="s">
        <v>8316</v>
      </c>
      <c r="R585" t="s">
        <v>8317</v>
      </c>
      <c r="S585" s="14">
        <f t="shared" si="56"/>
        <v>42052.93850694444</v>
      </c>
      <c r="T585" s="14">
        <f t="shared" si="57"/>
        <v>42082.896840277783</v>
      </c>
      <c r="U585" s="64">
        <f t="shared" si="58"/>
        <v>29.958333333343035</v>
      </c>
      <c r="V585" s="13" t="str">
        <f t="shared" si="59"/>
        <v>underfunded</v>
      </c>
    </row>
    <row r="586" spans="1:22" ht="3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8316</v>
      </c>
      <c r="R586" t="s">
        <v>8317</v>
      </c>
      <c r="S586" s="14">
        <f t="shared" si="56"/>
        <v>42049.716620370367</v>
      </c>
      <c r="T586" s="14">
        <f t="shared" si="57"/>
        <v>42079.674953703703</v>
      </c>
      <c r="U586" s="64">
        <f t="shared" si="58"/>
        <v>29.958333333335759</v>
      </c>
      <c r="V586" s="13" t="str">
        <f t="shared" si="59"/>
        <v>underfunded</v>
      </c>
    </row>
    <row r="587" spans="1:22" ht="48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0" t="s">
        <v>8316</v>
      </c>
      <c r="R587" t="s">
        <v>8317</v>
      </c>
      <c r="S587" s="14">
        <f t="shared" si="56"/>
        <v>42283.3909375</v>
      </c>
      <c r="T587" s="14">
        <f t="shared" si="57"/>
        <v>42339</v>
      </c>
      <c r="U587" s="64">
        <f t="shared" si="58"/>
        <v>55.609062499999709</v>
      </c>
      <c r="V587" s="13" t="str">
        <f t="shared" si="59"/>
        <v>underfunded</v>
      </c>
    </row>
    <row r="588" spans="1:22" ht="48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8316</v>
      </c>
      <c r="R588" t="s">
        <v>8317</v>
      </c>
      <c r="S588" s="14">
        <f t="shared" si="56"/>
        <v>42020.854247685187</v>
      </c>
      <c r="T588" s="14">
        <f t="shared" si="57"/>
        <v>42050.854247685187</v>
      </c>
      <c r="U588" s="64">
        <f t="shared" si="58"/>
        <v>30</v>
      </c>
      <c r="V588" s="13" t="str">
        <f t="shared" si="59"/>
        <v>underfunded</v>
      </c>
    </row>
    <row r="589" spans="1:22" ht="80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8316</v>
      </c>
      <c r="R589" t="s">
        <v>8317</v>
      </c>
      <c r="S589" s="14">
        <f t="shared" si="56"/>
        <v>42080.757326388892</v>
      </c>
      <c r="T589" s="14">
        <f t="shared" si="57"/>
        <v>42110.757326388892</v>
      </c>
      <c r="U589" s="64">
        <f t="shared" si="58"/>
        <v>30</v>
      </c>
      <c r="V589" s="13" t="str">
        <f t="shared" si="59"/>
        <v>underfunded</v>
      </c>
    </row>
    <row r="590" spans="1:22" ht="48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8316</v>
      </c>
      <c r="R590" t="s">
        <v>8317</v>
      </c>
      <c r="S590" s="14">
        <f t="shared" si="56"/>
        <v>42631.769513888896</v>
      </c>
      <c r="T590" s="14">
        <f t="shared" si="57"/>
        <v>42691.811180555553</v>
      </c>
      <c r="U590" s="64">
        <f t="shared" si="58"/>
        <v>60.041666666656965</v>
      </c>
      <c r="V590" s="13" t="str">
        <f t="shared" si="59"/>
        <v>underfunded</v>
      </c>
    </row>
    <row r="591" spans="1:22" ht="16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0" t="s">
        <v>8316</v>
      </c>
      <c r="R591" t="s">
        <v>8317</v>
      </c>
      <c r="S591" s="14">
        <f t="shared" si="56"/>
        <v>42178.614571759259</v>
      </c>
      <c r="T591" s="14">
        <f t="shared" si="57"/>
        <v>42193.614571759259</v>
      </c>
      <c r="U591" s="64">
        <f t="shared" si="58"/>
        <v>15</v>
      </c>
      <c r="V591" s="13" t="str">
        <f t="shared" si="59"/>
        <v>underfunded</v>
      </c>
    </row>
    <row r="592" spans="1:22" ht="48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8316</v>
      </c>
      <c r="R592" t="s">
        <v>8317</v>
      </c>
      <c r="S592" s="14">
        <f t="shared" si="56"/>
        <v>42377.554756944446</v>
      </c>
      <c r="T592" s="14">
        <f t="shared" si="57"/>
        <v>42408.542361111111</v>
      </c>
      <c r="U592" s="64">
        <f t="shared" si="58"/>
        <v>30.987604166664823</v>
      </c>
      <c r="V592" s="13" t="str">
        <f t="shared" si="59"/>
        <v>underfunded</v>
      </c>
    </row>
    <row r="593" spans="1:22" ht="48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0" t="s">
        <v>8316</v>
      </c>
      <c r="R593" t="s">
        <v>8317</v>
      </c>
      <c r="S593" s="14">
        <f t="shared" si="56"/>
        <v>42177.543171296296</v>
      </c>
      <c r="T593" s="14">
        <f t="shared" si="57"/>
        <v>42207.543171296296</v>
      </c>
      <c r="U593" s="64">
        <f t="shared" si="58"/>
        <v>30</v>
      </c>
      <c r="V593" s="13" t="str">
        <f t="shared" si="59"/>
        <v>underfunded</v>
      </c>
    </row>
    <row r="594" spans="1:22" ht="48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8316</v>
      </c>
      <c r="R594" t="s">
        <v>8317</v>
      </c>
      <c r="S594" s="14">
        <f t="shared" si="56"/>
        <v>41946.232175925928</v>
      </c>
      <c r="T594" s="14">
        <f t="shared" si="57"/>
        <v>41976.232175925921</v>
      </c>
      <c r="U594" s="64">
        <f t="shared" si="58"/>
        <v>29.999999999992724</v>
      </c>
      <c r="V594" s="13" t="str">
        <f t="shared" si="59"/>
        <v>underfunded</v>
      </c>
    </row>
    <row r="595" spans="1:22" ht="48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8316</v>
      </c>
      <c r="R595" t="s">
        <v>8317</v>
      </c>
      <c r="S595" s="14">
        <f t="shared" si="56"/>
        <v>42070.677604166667</v>
      </c>
      <c r="T595" s="14">
        <f t="shared" si="57"/>
        <v>42100.635937500003</v>
      </c>
      <c r="U595" s="64">
        <f t="shared" si="58"/>
        <v>29.958333333335759</v>
      </c>
      <c r="V595" s="13" t="str">
        <f t="shared" si="59"/>
        <v>underfunded</v>
      </c>
    </row>
    <row r="596" spans="1:22" ht="3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0" t="s">
        <v>8316</v>
      </c>
      <c r="R596" t="s">
        <v>8317</v>
      </c>
      <c r="S596" s="14">
        <f t="shared" si="56"/>
        <v>42446.780162037037</v>
      </c>
      <c r="T596" s="14">
        <f t="shared" si="57"/>
        <v>42476.780162037037</v>
      </c>
      <c r="U596" s="64">
        <f t="shared" si="58"/>
        <v>30</v>
      </c>
      <c r="V596" s="13" t="str">
        <f t="shared" si="59"/>
        <v>underfunded</v>
      </c>
    </row>
    <row r="597" spans="1:22" ht="48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0" t="s">
        <v>8316</v>
      </c>
      <c r="R597" t="s">
        <v>8317</v>
      </c>
      <c r="S597" s="14">
        <f t="shared" si="56"/>
        <v>42083.069884259254</v>
      </c>
      <c r="T597" s="14">
        <f t="shared" si="57"/>
        <v>42128.069884259254</v>
      </c>
      <c r="U597" s="64">
        <f t="shared" si="58"/>
        <v>45</v>
      </c>
      <c r="V597" s="13" t="str">
        <f t="shared" si="59"/>
        <v>underfunded</v>
      </c>
    </row>
    <row r="598" spans="1:22" ht="3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0" t="s">
        <v>8316</v>
      </c>
      <c r="R598" t="s">
        <v>8317</v>
      </c>
      <c r="S598" s="14">
        <f t="shared" si="56"/>
        <v>42646.896898148145</v>
      </c>
      <c r="T598" s="14">
        <f t="shared" si="57"/>
        <v>42676.896898148145</v>
      </c>
      <c r="U598" s="64">
        <f t="shared" si="58"/>
        <v>30</v>
      </c>
      <c r="V598" s="13" t="str">
        <f t="shared" si="59"/>
        <v>underfunded</v>
      </c>
    </row>
    <row r="599" spans="1:22" ht="48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0" t="s">
        <v>8316</v>
      </c>
      <c r="R599" t="s">
        <v>8317</v>
      </c>
      <c r="S599" s="14">
        <f t="shared" si="56"/>
        <v>42545.705266203702</v>
      </c>
      <c r="T599" s="14">
        <f t="shared" si="57"/>
        <v>42582.666666666672</v>
      </c>
      <c r="U599" s="64">
        <f t="shared" si="58"/>
        <v>36.961400462969323</v>
      </c>
      <c r="V599" s="13" t="str">
        <f t="shared" si="59"/>
        <v>underfunded</v>
      </c>
    </row>
    <row r="600" spans="1:22" ht="3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8316</v>
      </c>
      <c r="R600" t="s">
        <v>8317</v>
      </c>
      <c r="S600" s="14">
        <f t="shared" si="56"/>
        <v>41948.00209490741</v>
      </c>
      <c r="T600" s="14">
        <f t="shared" si="57"/>
        <v>41978.00209490741</v>
      </c>
      <c r="U600" s="64">
        <f t="shared" si="58"/>
        <v>30</v>
      </c>
      <c r="V600" s="13" t="str">
        <f t="shared" si="59"/>
        <v>underfunded</v>
      </c>
    </row>
    <row r="601" spans="1:22" ht="48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0" t="s">
        <v>8316</v>
      </c>
      <c r="R601" t="s">
        <v>8317</v>
      </c>
      <c r="S601" s="14">
        <f t="shared" si="56"/>
        <v>42047.812523148154</v>
      </c>
      <c r="T601" s="14">
        <f t="shared" si="57"/>
        <v>42071.636111111111</v>
      </c>
      <c r="U601" s="64">
        <f t="shared" si="58"/>
        <v>23.82358796295739</v>
      </c>
      <c r="V601" s="13" t="str">
        <f t="shared" si="59"/>
        <v>underfunded</v>
      </c>
    </row>
    <row r="602" spans="1:22" ht="3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8316</v>
      </c>
      <c r="R602" t="s">
        <v>8317</v>
      </c>
      <c r="S602" s="14">
        <f t="shared" si="56"/>
        <v>42073.798171296294</v>
      </c>
      <c r="T602" s="14">
        <f t="shared" si="57"/>
        <v>42133.798171296294</v>
      </c>
      <c r="U602" s="64">
        <f t="shared" si="58"/>
        <v>60</v>
      </c>
      <c r="V602" s="13" t="str">
        <f t="shared" si="59"/>
        <v>underfunded</v>
      </c>
    </row>
    <row r="603" spans="1:22" ht="48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8316</v>
      </c>
      <c r="R603" t="s">
        <v>8317</v>
      </c>
      <c r="S603" s="14">
        <f t="shared" si="56"/>
        <v>41969.858090277776</v>
      </c>
      <c r="T603" s="14">
        <f t="shared" si="57"/>
        <v>41999.858090277776</v>
      </c>
      <c r="U603" s="64">
        <f t="shared" si="58"/>
        <v>30</v>
      </c>
      <c r="V603" s="13" t="str">
        <f t="shared" si="59"/>
        <v>underfunded</v>
      </c>
    </row>
    <row r="604" spans="1:22" ht="48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0" t="s">
        <v>8316</v>
      </c>
      <c r="R604" t="s">
        <v>8317</v>
      </c>
      <c r="S604" s="14">
        <f t="shared" si="56"/>
        <v>42143.79415509259</v>
      </c>
      <c r="T604" s="14">
        <f t="shared" si="57"/>
        <v>42173.79415509259</v>
      </c>
      <c r="U604" s="64">
        <f t="shared" si="58"/>
        <v>30</v>
      </c>
      <c r="V604" s="13" t="str">
        <f t="shared" si="59"/>
        <v>underfunded</v>
      </c>
    </row>
    <row r="605" spans="1:22" ht="48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8316</v>
      </c>
      <c r="R605" t="s">
        <v>8317</v>
      </c>
      <c r="S605" s="14">
        <f t="shared" si="56"/>
        <v>41835.639155092591</v>
      </c>
      <c r="T605" s="14">
        <f t="shared" si="57"/>
        <v>41865.639155092591</v>
      </c>
      <c r="U605" s="64">
        <f t="shared" si="58"/>
        <v>30</v>
      </c>
      <c r="V605" s="13" t="str">
        <f t="shared" si="59"/>
        <v>underfunded</v>
      </c>
    </row>
    <row r="606" spans="1:22" ht="48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0" t="s">
        <v>8316</v>
      </c>
      <c r="R606" t="s">
        <v>8317</v>
      </c>
      <c r="S606" s="14">
        <f t="shared" si="56"/>
        <v>41849.035370370373</v>
      </c>
      <c r="T606" s="14">
        <f t="shared" si="57"/>
        <v>41879.035370370373</v>
      </c>
      <c r="U606" s="64">
        <f t="shared" si="58"/>
        <v>30</v>
      </c>
      <c r="V606" s="13" t="str">
        <f t="shared" si="59"/>
        <v>underfunded</v>
      </c>
    </row>
    <row r="607" spans="1:22" ht="3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8316</v>
      </c>
      <c r="R607" t="s">
        <v>8317</v>
      </c>
      <c r="S607" s="14">
        <f t="shared" si="56"/>
        <v>42194.357731481476</v>
      </c>
      <c r="T607" s="14">
        <f t="shared" si="57"/>
        <v>42239.357731481476</v>
      </c>
      <c r="U607" s="64">
        <f t="shared" si="58"/>
        <v>45</v>
      </c>
      <c r="V607" s="13" t="str">
        <f t="shared" si="59"/>
        <v>underfunded</v>
      </c>
    </row>
    <row r="608" spans="1:22" ht="48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0" t="s">
        <v>8316</v>
      </c>
      <c r="R608" t="s">
        <v>8317</v>
      </c>
      <c r="S608" s="14">
        <f t="shared" si="56"/>
        <v>42102.650567129633</v>
      </c>
      <c r="T608" s="14">
        <f t="shared" si="57"/>
        <v>42148.625</v>
      </c>
      <c r="U608" s="64">
        <f t="shared" si="58"/>
        <v>45.974432870367309</v>
      </c>
      <c r="V608" s="13" t="str">
        <f t="shared" si="59"/>
        <v>underfunded</v>
      </c>
    </row>
    <row r="609" spans="1:22" ht="48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0" t="s">
        <v>8316</v>
      </c>
      <c r="R609" t="s">
        <v>8317</v>
      </c>
      <c r="S609" s="14">
        <f t="shared" si="56"/>
        <v>42300.825648148151</v>
      </c>
      <c r="T609" s="14">
        <f t="shared" si="57"/>
        <v>42330.867314814815</v>
      </c>
      <c r="U609" s="64">
        <f t="shared" si="58"/>
        <v>30.041666666664241</v>
      </c>
      <c r="V609" s="13" t="str">
        <f t="shared" si="59"/>
        <v>underfunded</v>
      </c>
    </row>
    <row r="610" spans="1:22" ht="48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8316</v>
      </c>
      <c r="R610" t="s">
        <v>8317</v>
      </c>
      <c r="S610" s="14">
        <f t="shared" si="56"/>
        <v>42140.921064814815</v>
      </c>
      <c r="T610" s="14">
        <f t="shared" si="57"/>
        <v>42170.921064814815</v>
      </c>
      <c r="U610" s="64">
        <f t="shared" si="58"/>
        <v>30</v>
      </c>
      <c r="V610" s="13" t="str">
        <f t="shared" si="59"/>
        <v>underfunded</v>
      </c>
    </row>
    <row r="611" spans="1:22" ht="48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8316</v>
      </c>
      <c r="R611" t="s">
        <v>8317</v>
      </c>
      <c r="S611" s="14">
        <f t="shared" si="56"/>
        <v>42307.034074074079</v>
      </c>
      <c r="T611" s="14">
        <f t="shared" si="57"/>
        <v>42337.075740740736</v>
      </c>
      <c r="U611" s="64">
        <f t="shared" si="58"/>
        <v>30.041666666656965</v>
      </c>
      <c r="V611" s="13" t="str">
        <f t="shared" si="59"/>
        <v>underfunded</v>
      </c>
    </row>
    <row r="612" spans="1:22" ht="48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0" t="s">
        <v>8316</v>
      </c>
      <c r="R612" t="s">
        <v>8317</v>
      </c>
      <c r="S612" s="14">
        <f t="shared" si="56"/>
        <v>42086.83085648148</v>
      </c>
      <c r="T612" s="14">
        <f t="shared" si="57"/>
        <v>42116.83085648148</v>
      </c>
      <c r="U612" s="64">
        <f t="shared" si="58"/>
        <v>30</v>
      </c>
      <c r="V612" s="13" t="str">
        <f t="shared" si="59"/>
        <v>underfunded</v>
      </c>
    </row>
    <row r="613" spans="1:22" ht="48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0" t="s">
        <v>8316</v>
      </c>
      <c r="R613" t="s">
        <v>8317</v>
      </c>
      <c r="S613" s="14">
        <f t="shared" si="56"/>
        <v>42328.560613425929</v>
      </c>
      <c r="T613" s="14">
        <f t="shared" si="57"/>
        <v>42388.560613425929</v>
      </c>
      <c r="U613" s="64">
        <f t="shared" si="58"/>
        <v>60</v>
      </c>
      <c r="V613" s="13" t="str">
        <f t="shared" si="59"/>
        <v>underfunded</v>
      </c>
    </row>
    <row r="614" spans="1:22" ht="3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0" t="s">
        <v>8316</v>
      </c>
      <c r="R614" t="s">
        <v>8317</v>
      </c>
      <c r="S614" s="14">
        <f t="shared" si="56"/>
        <v>42585.031782407401</v>
      </c>
      <c r="T614" s="14">
        <f t="shared" si="57"/>
        <v>42615.031782407401</v>
      </c>
      <c r="U614" s="64">
        <f t="shared" si="58"/>
        <v>30</v>
      </c>
      <c r="V614" s="13" t="str">
        <f t="shared" si="59"/>
        <v>underfunded</v>
      </c>
    </row>
    <row r="615" spans="1:22" ht="48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8316</v>
      </c>
      <c r="R615" t="s">
        <v>8317</v>
      </c>
      <c r="S615" s="14">
        <f t="shared" si="56"/>
        <v>42247.496759259258</v>
      </c>
      <c r="T615" s="14">
        <f t="shared" si="57"/>
        <v>42278.207638888889</v>
      </c>
      <c r="U615" s="64">
        <f t="shared" si="58"/>
        <v>30.710879629630654</v>
      </c>
      <c r="V615" s="13" t="str">
        <f t="shared" si="59"/>
        <v>underfunded</v>
      </c>
    </row>
    <row r="616" spans="1:22" ht="48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0" t="s">
        <v>8316</v>
      </c>
      <c r="R616" t="s">
        <v>8317</v>
      </c>
      <c r="S616" s="14">
        <f t="shared" si="56"/>
        <v>42515.061805555553</v>
      </c>
      <c r="T616" s="14">
        <f t="shared" si="57"/>
        <v>42545.061805555553</v>
      </c>
      <c r="U616" s="64">
        <f t="shared" si="58"/>
        <v>30</v>
      </c>
      <c r="V616" s="13" t="str">
        <f t="shared" si="59"/>
        <v>underfunded</v>
      </c>
    </row>
    <row r="617" spans="1:22" ht="48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0" t="s">
        <v>8316</v>
      </c>
      <c r="R617" t="s">
        <v>8317</v>
      </c>
      <c r="S617" s="14">
        <f t="shared" si="56"/>
        <v>42242.122210648144</v>
      </c>
      <c r="T617" s="14">
        <f t="shared" si="57"/>
        <v>42272.122210648144</v>
      </c>
      <c r="U617" s="64">
        <f t="shared" si="58"/>
        <v>30</v>
      </c>
      <c r="V617" s="13" t="str">
        <f t="shared" si="59"/>
        <v>underfunded</v>
      </c>
    </row>
    <row r="618" spans="1:22" ht="48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0" t="s">
        <v>8316</v>
      </c>
      <c r="R618" t="s">
        <v>8317</v>
      </c>
      <c r="S618" s="14">
        <f t="shared" si="56"/>
        <v>42761.376238425932</v>
      </c>
      <c r="T618" s="14">
        <f t="shared" si="57"/>
        <v>42791.376238425932</v>
      </c>
      <c r="U618" s="64">
        <f t="shared" si="58"/>
        <v>30</v>
      </c>
      <c r="V618" s="13" t="str">
        <f t="shared" si="59"/>
        <v>underfunded</v>
      </c>
    </row>
    <row r="619" spans="1:22" ht="48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8316</v>
      </c>
      <c r="R619" t="s">
        <v>8317</v>
      </c>
      <c r="S619" s="14">
        <f t="shared" si="56"/>
        <v>42087.343090277776</v>
      </c>
      <c r="T619" s="14">
        <f t="shared" si="57"/>
        <v>42132.343090277776</v>
      </c>
      <c r="U619" s="64">
        <f t="shared" si="58"/>
        <v>45</v>
      </c>
      <c r="V619" s="13" t="str">
        <f t="shared" si="59"/>
        <v>underfunded</v>
      </c>
    </row>
    <row r="620" spans="1:22" ht="48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0" t="s">
        <v>8316</v>
      </c>
      <c r="R620" t="s">
        <v>8317</v>
      </c>
      <c r="S620" s="14">
        <f t="shared" si="56"/>
        <v>42317.810219907406</v>
      </c>
      <c r="T620" s="14">
        <f t="shared" si="57"/>
        <v>42347.810219907406</v>
      </c>
      <c r="U620" s="64">
        <f t="shared" si="58"/>
        <v>30</v>
      </c>
      <c r="V620" s="13" t="str">
        <f t="shared" si="59"/>
        <v>underfunded</v>
      </c>
    </row>
    <row r="621" spans="1:22" ht="3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0" t="s">
        <v>8316</v>
      </c>
      <c r="R621" t="s">
        <v>8317</v>
      </c>
      <c r="S621" s="14">
        <f t="shared" si="56"/>
        <v>41908.650347222225</v>
      </c>
      <c r="T621" s="14">
        <f t="shared" si="57"/>
        <v>41968.692013888889</v>
      </c>
      <c r="U621" s="64">
        <f t="shared" si="58"/>
        <v>60.041666666664241</v>
      </c>
      <c r="V621" s="13" t="str">
        <f t="shared" si="59"/>
        <v>underfunded</v>
      </c>
    </row>
    <row r="622" spans="1:22" ht="48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8316</v>
      </c>
      <c r="R622" t="s">
        <v>8317</v>
      </c>
      <c r="S622" s="14">
        <f t="shared" si="56"/>
        <v>41831.716874999998</v>
      </c>
      <c r="T622" s="14">
        <f t="shared" si="57"/>
        <v>41876.716874999998</v>
      </c>
      <c r="U622" s="64">
        <f t="shared" si="58"/>
        <v>45</v>
      </c>
      <c r="V622" s="13" t="str">
        <f t="shared" si="59"/>
        <v>underfunded</v>
      </c>
    </row>
    <row r="623" spans="1:22" ht="48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8316</v>
      </c>
      <c r="R623" t="s">
        <v>8317</v>
      </c>
      <c r="S623" s="14">
        <f t="shared" si="56"/>
        <v>42528.987696759257</v>
      </c>
      <c r="T623" s="14">
        <f t="shared" si="57"/>
        <v>42558.987696759257</v>
      </c>
      <c r="U623" s="64">
        <f t="shared" si="58"/>
        <v>30</v>
      </c>
      <c r="V623" s="13" t="str">
        <f t="shared" si="59"/>
        <v>underfunded</v>
      </c>
    </row>
    <row r="624" spans="1:22" ht="48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8316</v>
      </c>
      <c r="R624" t="s">
        <v>8317</v>
      </c>
      <c r="S624" s="14">
        <f t="shared" si="56"/>
        <v>42532.774745370371</v>
      </c>
      <c r="T624" s="14">
        <f t="shared" si="57"/>
        <v>42552.774745370371</v>
      </c>
      <c r="U624" s="64">
        <f t="shared" si="58"/>
        <v>20</v>
      </c>
      <c r="V624" s="13" t="str">
        <f t="shared" si="59"/>
        <v>underfunded</v>
      </c>
    </row>
    <row r="625" spans="1:22" ht="48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0" t="s">
        <v>8316</v>
      </c>
      <c r="R625" t="s">
        <v>8317</v>
      </c>
      <c r="S625" s="14">
        <f t="shared" si="56"/>
        <v>42122.009224537032</v>
      </c>
      <c r="T625" s="14">
        <f t="shared" si="57"/>
        <v>42152.009224537032</v>
      </c>
      <c r="U625" s="64">
        <f t="shared" si="58"/>
        <v>30</v>
      </c>
      <c r="V625" s="13" t="str">
        <f t="shared" si="59"/>
        <v>underfunded</v>
      </c>
    </row>
    <row r="626" spans="1:22" ht="48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0" t="s">
        <v>8316</v>
      </c>
      <c r="R626" t="s">
        <v>8317</v>
      </c>
      <c r="S626" s="14">
        <f t="shared" si="56"/>
        <v>42108.988900462966</v>
      </c>
      <c r="T626" s="14">
        <f t="shared" si="57"/>
        <v>42138.988900462966</v>
      </c>
      <c r="U626" s="64">
        <f t="shared" si="58"/>
        <v>30</v>
      </c>
      <c r="V626" s="13" t="str">
        <f t="shared" si="59"/>
        <v>underfunded</v>
      </c>
    </row>
    <row r="627" spans="1:22" ht="48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0" t="s">
        <v>8316</v>
      </c>
      <c r="R627" t="s">
        <v>8317</v>
      </c>
      <c r="S627" s="14">
        <f t="shared" si="56"/>
        <v>42790.895567129628</v>
      </c>
      <c r="T627" s="14">
        <f t="shared" si="57"/>
        <v>42820.853900462964</v>
      </c>
      <c r="U627" s="64">
        <f t="shared" si="58"/>
        <v>29.958333333335759</v>
      </c>
      <c r="V627" s="13" t="str">
        <f t="shared" si="59"/>
        <v>underfunded</v>
      </c>
    </row>
    <row r="628" spans="1:22" ht="48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8316</v>
      </c>
      <c r="R628" t="s">
        <v>8317</v>
      </c>
      <c r="S628" s="14">
        <f t="shared" si="56"/>
        <v>42198.559479166666</v>
      </c>
      <c r="T628" s="14">
        <f t="shared" si="57"/>
        <v>42231.556944444441</v>
      </c>
      <c r="U628" s="64">
        <f t="shared" si="58"/>
        <v>32.997465277774609</v>
      </c>
      <c r="V628" s="13" t="str">
        <f t="shared" si="59"/>
        <v>underfunded</v>
      </c>
    </row>
    <row r="629" spans="1:22" ht="48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0" t="s">
        <v>8316</v>
      </c>
      <c r="R629" t="s">
        <v>8317</v>
      </c>
      <c r="S629" s="14">
        <f t="shared" si="56"/>
        <v>42384.306840277779</v>
      </c>
      <c r="T629" s="14">
        <f t="shared" si="57"/>
        <v>42443.958333333328</v>
      </c>
      <c r="U629" s="64">
        <f t="shared" si="58"/>
        <v>59.651493055549508</v>
      </c>
      <c r="V629" s="13" t="str">
        <f t="shared" si="59"/>
        <v>underfunded</v>
      </c>
    </row>
    <row r="630" spans="1:22" ht="48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0" t="s">
        <v>8316</v>
      </c>
      <c r="R630" t="s">
        <v>8317</v>
      </c>
      <c r="S630" s="14">
        <f t="shared" si="56"/>
        <v>41803.692789351851</v>
      </c>
      <c r="T630" s="14">
        <f t="shared" si="57"/>
        <v>41833.692789351851</v>
      </c>
      <c r="U630" s="64">
        <f t="shared" si="58"/>
        <v>30</v>
      </c>
      <c r="V630" s="13" t="str">
        <f t="shared" si="59"/>
        <v>underfunded</v>
      </c>
    </row>
    <row r="631" spans="1:22" ht="48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0" t="s">
        <v>8316</v>
      </c>
      <c r="R631" t="s">
        <v>8317</v>
      </c>
      <c r="S631" s="14">
        <f t="shared" si="56"/>
        <v>42474.637824074074</v>
      </c>
      <c r="T631" s="14">
        <f t="shared" si="57"/>
        <v>42504.637824074074</v>
      </c>
      <c r="U631" s="64">
        <f t="shared" si="58"/>
        <v>30</v>
      </c>
      <c r="V631" s="13" t="str">
        <f t="shared" si="59"/>
        <v>underfunded</v>
      </c>
    </row>
    <row r="632" spans="1:22" ht="48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0" t="s">
        <v>8316</v>
      </c>
      <c r="R632" t="s">
        <v>8317</v>
      </c>
      <c r="S632" s="14">
        <f t="shared" si="56"/>
        <v>42223.619456018518</v>
      </c>
      <c r="T632" s="14">
        <f t="shared" si="57"/>
        <v>42253.215277777781</v>
      </c>
      <c r="U632" s="64">
        <f t="shared" si="58"/>
        <v>29.595821759263345</v>
      </c>
      <c r="V632" s="13" t="str">
        <f t="shared" si="59"/>
        <v>underfunded</v>
      </c>
    </row>
    <row r="633" spans="1:22" ht="3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8316</v>
      </c>
      <c r="R633" t="s">
        <v>8317</v>
      </c>
      <c r="S633" s="14">
        <f t="shared" si="56"/>
        <v>42489.772326388891</v>
      </c>
      <c r="T633" s="14">
        <f t="shared" si="57"/>
        <v>42518.772326388891</v>
      </c>
      <c r="U633" s="64">
        <f t="shared" si="58"/>
        <v>29</v>
      </c>
      <c r="V633" s="13" t="str">
        <f t="shared" si="59"/>
        <v>underfunded</v>
      </c>
    </row>
    <row r="634" spans="1:22" ht="3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0" t="s">
        <v>8316</v>
      </c>
      <c r="R634" t="s">
        <v>8317</v>
      </c>
      <c r="S634" s="14">
        <f t="shared" si="56"/>
        <v>42303.659317129626</v>
      </c>
      <c r="T634" s="14">
        <f t="shared" si="57"/>
        <v>42333.700983796298</v>
      </c>
      <c r="U634" s="64">
        <f t="shared" si="58"/>
        <v>30.041666666671517</v>
      </c>
      <c r="V634" s="13" t="str">
        <f t="shared" si="59"/>
        <v>underfunded</v>
      </c>
    </row>
    <row r="635" spans="1:22" ht="48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8316</v>
      </c>
      <c r="R635" t="s">
        <v>8317</v>
      </c>
      <c r="S635" s="14">
        <f t="shared" si="56"/>
        <v>42507.29932870371</v>
      </c>
      <c r="T635" s="14">
        <f t="shared" si="57"/>
        <v>42538.958333333328</v>
      </c>
      <c r="U635" s="64">
        <f t="shared" si="58"/>
        <v>31.659004629618721</v>
      </c>
      <c r="V635" s="13" t="str">
        <f t="shared" si="59"/>
        <v>underfunded</v>
      </c>
    </row>
    <row r="636" spans="1:22" ht="3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0" t="s">
        <v>8316</v>
      </c>
      <c r="R636" t="s">
        <v>8317</v>
      </c>
      <c r="S636" s="14">
        <f t="shared" si="56"/>
        <v>42031.928576388891</v>
      </c>
      <c r="T636" s="14">
        <f t="shared" si="57"/>
        <v>42061.928576388891</v>
      </c>
      <c r="U636" s="64">
        <f t="shared" si="58"/>
        <v>30</v>
      </c>
      <c r="V636" s="13" t="str">
        <f t="shared" si="59"/>
        <v>underfunded</v>
      </c>
    </row>
    <row r="637" spans="1:22" ht="3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0" t="s">
        <v>8316</v>
      </c>
      <c r="R637" t="s">
        <v>8317</v>
      </c>
      <c r="S637" s="14">
        <f t="shared" si="56"/>
        <v>42076.092152777783</v>
      </c>
      <c r="T637" s="14">
        <f t="shared" si="57"/>
        <v>42106.092152777783</v>
      </c>
      <c r="U637" s="64">
        <f t="shared" si="58"/>
        <v>30</v>
      </c>
      <c r="V637" s="13" t="str">
        <f t="shared" si="59"/>
        <v>underfunded</v>
      </c>
    </row>
    <row r="638" spans="1:22" ht="3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0" t="s">
        <v>8316</v>
      </c>
      <c r="R638" t="s">
        <v>8317</v>
      </c>
      <c r="S638" s="14">
        <f t="shared" si="56"/>
        <v>42131.455439814818</v>
      </c>
      <c r="T638" s="14">
        <f t="shared" si="57"/>
        <v>42161.44930555555</v>
      </c>
      <c r="U638" s="64">
        <f t="shared" si="58"/>
        <v>29.993865740732872</v>
      </c>
      <c r="V638" s="13" t="str">
        <f t="shared" si="59"/>
        <v>underfunded</v>
      </c>
    </row>
    <row r="639" spans="1:22" ht="48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0" t="s">
        <v>8316</v>
      </c>
      <c r="R639" t="s">
        <v>8317</v>
      </c>
      <c r="S639" s="14">
        <f t="shared" si="56"/>
        <v>42762.962013888886</v>
      </c>
      <c r="T639" s="14">
        <f t="shared" si="57"/>
        <v>42791.961111111115</v>
      </c>
      <c r="U639" s="64">
        <f t="shared" si="58"/>
        <v>28.999097222229466</v>
      </c>
      <c r="V639" s="13" t="str">
        <f t="shared" si="59"/>
        <v>underfunded</v>
      </c>
    </row>
    <row r="640" spans="1:22" ht="16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0" t="s">
        <v>8316</v>
      </c>
      <c r="R640" t="s">
        <v>8317</v>
      </c>
      <c r="S640" s="14">
        <f t="shared" si="56"/>
        <v>42759.593310185184</v>
      </c>
      <c r="T640" s="14">
        <f t="shared" si="57"/>
        <v>42819.55164351852</v>
      </c>
      <c r="U640" s="64">
        <f t="shared" si="58"/>
        <v>59.958333333335759</v>
      </c>
      <c r="V640" s="13" t="str">
        <f t="shared" si="59"/>
        <v>underfunded</v>
      </c>
    </row>
    <row r="641" spans="1:22" ht="3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0" t="s">
        <v>8316</v>
      </c>
      <c r="R641" t="s">
        <v>8317</v>
      </c>
      <c r="S641" s="14">
        <f t="shared" si="56"/>
        <v>41865.583275462966</v>
      </c>
      <c r="T641" s="14">
        <f t="shared" si="57"/>
        <v>41925.583275462966</v>
      </c>
      <c r="U641" s="64">
        <f t="shared" si="58"/>
        <v>60</v>
      </c>
      <c r="V641" s="13" t="str">
        <f t="shared" si="59"/>
        <v>underfunded</v>
      </c>
    </row>
    <row r="642" spans="1:22" ht="48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>
        <f t="shared" si="55"/>
        <v>50.5</v>
      </c>
      <c r="Q642" s="10" t="s">
        <v>8316</v>
      </c>
      <c r="R642" t="s">
        <v>8318</v>
      </c>
      <c r="S642" s="14">
        <f t="shared" si="56"/>
        <v>42683.420312500006</v>
      </c>
      <c r="T642" s="14">
        <f t="shared" si="57"/>
        <v>42698.958333333328</v>
      </c>
      <c r="U642" s="64">
        <f t="shared" si="58"/>
        <v>15.538020833322662</v>
      </c>
      <c r="V642" s="13" t="str">
        <f t="shared" si="59"/>
        <v>funded</v>
      </c>
    </row>
    <row r="643" spans="1:22" ht="48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ROUND(E643/D643*100,0)</f>
        <v>119</v>
      </c>
      <c r="P643">
        <f t="shared" ref="P643:P706" si="61">IFERROR(ROUND(E643/L643,2), 0)</f>
        <v>151.32</v>
      </c>
      <c r="Q643" s="10" t="s">
        <v>8316</v>
      </c>
      <c r="R643" t="s">
        <v>8318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 s="64">
        <f t="shared" ref="U643:V706" si="64">T643-S643</f>
        <v>30</v>
      </c>
      <c r="V643" s="13" t="str">
        <f t="shared" ref="V643:V706" si="65">IF(E643&gt;=D643, "funded", "underfunded")</f>
        <v>funded</v>
      </c>
    </row>
    <row r="644" spans="1:22" ht="48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8316</v>
      </c>
      <c r="R644" t="s">
        <v>8318</v>
      </c>
      <c r="S644" s="14">
        <f t="shared" si="62"/>
        <v>42199.651319444441</v>
      </c>
      <c r="T644" s="14">
        <f t="shared" si="63"/>
        <v>42235.651319444441</v>
      </c>
      <c r="U644" s="64">
        <f t="shared" si="64"/>
        <v>36</v>
      </c>
      <c r="V644" s="13" t="str">
        <f t="shared" si="65"/>
        <v>funded</v>
      </c>
    </row>
    <row r="645" spans="1:22" ht="3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8316</v>
      </c>
      <c r="R645" t="s">
        <v>8318</v>
      </c>
      <c r="S645" s="14">
        <f t="shared" si="62"/>
        <v>42100.642071759255</v>
      </c>
      <c r="T645" s="14">
        <f t="shared" si="63"/>
        <v>42155.642071759255</v>
      </c>
      <c r="U645" s="64">
        <f t="shared" si="64"/>
        <v>55</v>
      </c>
      <c r="V645" s="13" t="str">
        <f t="shared" si="65"/>
        <v>funded</v>
      </c>
    </row>
    <row r="646" spans="1:22" ht="48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8316</v>
      </c>
      <c r="R646" t="s">
        <v>8318</v>
      </c>
      <c r="S646" s="14">
        <f t="shared" si="62"/>
        <v>41898.665960648148</v>
      </c>
      <c r="T646" s="14">
        <f t="shared" si="63"/>
        <v>41941.041666666664</v>
      </c>
      <c r="U646" s="64">
        <f t="shared" si="64"/>
        <v>42.375706018516212</v>
      </c>
      <c r="V646" s="13" t="str">
        <f t="shared" si="65"/>
        <v>funded</v>
      </c>
    </row>
    <row r="647" spans="1:22" ht="3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8316</v>
      </c>
      <c r="R647" t="s">
        <v>8318</v>
      </c>
      <c r="S647" s="14">
        <f t="shared" si="62"/>
        <v>42564.026319444441</v>
      </c>
      <c r="T647" s="14">
        <f t="shared" si="63"/>
        <v>42594.026319444441</v>
      </c>
      <c r="U647" s="64">
        <f t="shared" si="64"/>
        <v>30</v>
      </c>
      <c r="V647" s="13" t="str">
        <f t="shared" si="65"/>
        <v>funded</v>
      </c>
    </row>
    <row r="648" spans="1:22" ht="48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8316</v>
      </c>
      <c r="R648" t="s">
        <v>8318</v>
      </c>
      <c r="S648" s="14">
        <f t="shared" si="62"/>
        <v>41832.852627314816</v>
      </c>
      <c r="T648" s="14">
        <f t="shared" si="63"/>
        <v>41862.852627314816</v>
      </c>
      <c r="U648" s="64">
        <f t="shared" si="64"/>
        <v>30</v>
      </c>
      <c r="V648" s="13" t="str">
        <f t="shared" si="65"/>
        <v>funded</v>
      </c>
    </row>
    <row r="649" spans="1:22" ht="48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8316</v>
      </c>
      <c r="R649" t="s">
        <v>8318</v>
      </c>
      <c r="S649" s="14">
        <f t="shared" si="62"/>
        <v>42416.767928240741</v>
      </c>
      <c r="T649" s="14">
        <f t="shared" si="63"/>
        <v>42446.726261574076</v>
      </c>
      <c r="U649" s="64">
        <f t="shared" si="64"/>
        <v>29.958333333335759</v>
      </c>
      <c r="V649" s="13" t="str">
        <f t="shared" si="65"/>
        <v>funded</v>
      </c>
    </row>
    <row r="650" spans="1:22" ht="3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8316</v>
      </c>
      <c r="R650" t="s">
        <v>8318</v>
      </c>
      <c r="S650" s="14">
        <f t="shared" si="62"/>
        <v>41891.693379629629</v>
      </c>
      <c r="T650" s="14">
        <f t="shared" si="63"/>
        <v>41926.693379629629</v>
      </c>
      <c r="U650" s="64">
        <f t="shared" si="64"/>
        <v>35</v>
      </c>
      <c r="V650" s="13" t="str">
        <f t="shared" si="65"/>
        <v>funded</v>
      </c>
    </row>
    <row r="651" spans="1:22" ht="48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8316</v>
      </c>
      <c r="R651" t="s">
        <v>8318</v>
      </c>
      <c r="S651" s="14">
        <f t="shared" si="62"/>
        <v>41877.912187499998</v>
      </c>
      <c r="T651" s="14">
        <f t="shared" si="63"/>
        <v>41898.912187499998</v>
      </c>
      <c r="U651" s="64">
        <f t="shared" si="64"/>
        <v>21</v>
      </c>
      <c r="V651" s="13" t="str">
        <f t="shared" si="65"/>
        <v>funded</v>
      </c>
    </row>
    <row r="652" spans="1:22" ht="48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8316</v>
      </c>
      <c r="R652" t="s">
        <v>8318</v>
      </c>
      <c r="S652" s="14">
        <f t="shared" si="62"/>
        <v>41932.036851851852</v>
      </c>
      <c r="T652" s="14">
        <f t="shared" si="63"/>
        <v>41992.078518518523</v>
      </c>
      <c r="U652" s="64">
        <f t="shared" si="64"/>
        <v>60.041666666671517</v>
      </c>
      <c r="V652" s="13" t="str">
        <f t="shared" si="65"/>
        <v>funded</v>
      </c>
    </row>
    <row r="653" spans="1:22" ht="48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8316</v>
      </c>
      <c r="R653" t="s">
        <v>8318</v>
      </c>
      <c r="S653" s="14">
        <f t="shared" si="62"/>
        <v>41956.017488425925</v>
      </c>
      <c r="T653" s="14">
        <f t="shared" si="63"/>
        <v>41986.017488425925</v>
      </c>
      <c r="U653" s="64">
        <f t="shared" si="64"/>
        <v>30</v>
      </c>
      <c r="V653" s="13" t="str">
        <f t="shared" si="65"/>
        <v>funded</v>
      </c>
    </row>
    <row r="654" spans="1:22" ht="48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8316</v>
      </c>
      <c r="R654" t="s">
        <v>8318</v>
      </c>
      <c r="S654" s="14">
        <f t="shared" si="62"/>
        <v>42675.690393518518</v>
      </c>
      <c r="T654" s="14">
        <f t="shared" si="63"/>
        <v>42705.732060185182</v>
      </c>
      <c r="U654" s="64">
        <f t="shared" si="64"/>
        <v>30.041666666664241</v>
      </c>
      <c r="V654" s="13" t="str">
        <f t="shared" si="65"/>
        <v>funded</v>
      </c>
    </row>
    <row r="655" spans="1:22" ht="48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8316</v>
      </c>
      <c r="R655" t="s">
        <v>8318</v>
      </c>
      <c r="S655" s="14">
        <f t="shared" si="62"/>
        <v>42199.618518518517</v>
      </c>
      <c r="T655" s="14">
        <f t="shared" si="63"/>
        <v>42236.618518518517</v>
      </c>
      <c r="U655" s="64">
        <f t="shared" si="64"/>
        <v>37</v>
      </c>
      <c r="V655" s="13" t="str">
        <f t="shared" si="65"/>
        <v>funded</v>
      </c>
    </row>
    <row r="656" spans="1:22" ht="48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8316</v>
      </c>
      <c r="R656" t="s">
        <v>8318</v>
      </c>
      <c r="S656" s="14">
        <f t="shared" si="62"/>
        <v>42163.957326388889</v>
      </c>
      <c r="T656" s="14">
        <f t="shared" si="63"/>
        <v>42193.957326388889</v>
      </c>
      <c r="U656" s="64">
        <f t="shared" si="64"/>
        <v>30</v>
      </c>
      <c r="V656" s="13" t="str">
        <f t="shared" si="65"/>
        <v>funded</v>
      </c>
    </row>
    <row r="657" spans="1:22" ht="48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8316</v>
      </c>
      <c r="R657" t="s">
        <v>8318</v>
      </c>
      <c r="S657" s="14">
        <f t="shared" si="62"/>
        <v>42045.957314814819</v>
      </c>
      <c r="T657" s="14">
        <f t="shared" si="63"/>
        <v>42075.915648148148</v>
      </c>
      <c r="U657" s="64">
        <f t="shared" si="64"/>
        <v>29.958333333328483</v>
      </c>
      <c r="V657" s="13" t="str">
        <f t="shared" si="65"/>
        <v>funded</v>
      </c>
    </row>
    <row r="658" spans="1:22" ht="48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8316</v>
      </c>
      <c r="R658" t="s">
        <v>8318</v>
      </c>
      <c r="S658" s="14">
        <f t="shared" si="62"/>
        <v>42417.804618055554</v>
      </c>
      <c r="T658" s="14">
        <f t="shared" si="63"/>
        <v>42477.762951388882</v>
      </c>
      <c r="U658" s="64">
        <f t="shared" si="64"/>
        <v>59.958333333328483</v>
      </c>
      <c r="V658" s="13" t="str">
        <f t="shared" si="65"/>
        <v>funded</v>
      </c>
    </row>
    <row r="659" spans="1:22" ht="48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8316</v>
      </c>
      <c r="R659" t="s">
        <v>8318</v>
      </c>
      <c r="S659" s="14">
        <f t="shared" si="62"/>
        <v>42331.84574074074</v>
      </c>
      <c r="T659" s="14">
        <f t="shared" si="63"/>
        <v>42361.84574074074</v>
      </c>
      <c r="U659" s="64">
        <f t="shared" si="64"/>
        <v>30</v>
      </c>
      <c r="V659" s="13" t="str">
        <f t="shared" si="65"/>
        <v>funded</v>
      </c>
    </row>
    <row r="660" spans="1:22" ht="48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8316</v>
      </c>
      <c r="R660" t="s">
        <v>8318</v>
      </c>
      <c r="S660" s="14">
        <f t="shared" si="62"/>
        <v>42179.160752314812</v>
      </c>
      <c r="T660" s="14">
        <f t="shared" si="63"/>
        <v>42211.75</v>
      </c>
      <c r="U660" s="64">
        <f t="shared" si="64"/>
        <v>32.589247685187729</v>
      </c>
      <c r="V660" s="13" t="str">
        <f t="shared" si="65"/>
        <v>funded</v>
      </c>
    </row>
    <row r="661" spans="1:22" ht="16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8316</v>
      </c>
      <c r="R661" t="s">
        <v>8318</v>
      </c>
      <c r="S661" s="14">
        <f t="shared" si="62"/>
        <v>42209.593692129631</v>
      </c>
      <c r="T661" s="14">
        <f t="shared" si="63"/>
        <v>42239.593692129631</v>
      </c>
      <c r="U661" s="64">
        <f t="shared" si="64"/>
        <v>30</v>
      </c>
      <c r="V661" s="13" t="str">
        <f t="shared" si="65"/>
        <v>funded</v>
      </c>
    </row>
    <row r="662" spans="1:22" ht="48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8316</v>
      </c>
      <c r="R662" t="s">
        <v>8318</v>
      </c>
      <c r="S662" s="14">
        <f t="shared" si="62"/>
        <v>41922.741655092592</v>
      </c>
      <c r="T662" s="14">
        <f t="shared" si="63"/>
        <v>41952.783321759263</v>
      </c>
      <c r="U662" s="64">
        <f t="shared" si="64"/>
        <v>30.041666666671517</v>
      </c>
      <c r="V662" s="13" t="str">
        <f t="shared" si="65"/>
        <v>underfunded</v>
      </c>
    </row>
    <row r="663" spans="1:22" ht="48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8316</v>
      </c>
      <c r="R663" t="s">
        <v>8318</v>
      </c>
      <c r="S663" s="14">
        <f t="shared" si="62"/>
        <v>42636.645358796297</v>
      </c>
      <c r="T663" s="14">
        <f t="shared" si="63"/>
        <v>42666.645358796297</v>
      </c>
      <c r="U663" s="64">
        <f t="shared" si="64"/>
        <v>30</v>
      </c>
      <c r="V663" s="13" t="str">
        <f t="shared" si="65"/>
        <v>underfunded</v>
      </c>
    </row>
    <row r="664" spans="1:22" ht="3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0" t="s">
        <v>8316</v>
      </c>
      <c r="R664" t="s">
        <v>8318</v>
      </c>
      <c r="S664" s="14">
        <f t="shared" si="62"/>
        <v>41990.438043981485</v>
      </c>
      <c r="T664" s="14">
        <f t="shared" si="63"/>
        <v>42020.438043981485</v>
      </c>
      <c r="U664" s="64">
        <f t="shared" si="64"/>
        <v>30</v>
      </c>
      <c r="V664" s="13" t="str">
        <f t="shared" si="65"/>
        <v>underfunded</v>
      </c>
    </row>
    <row r="665" spans="1:22" ht="48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0" t="s">
        <v>8316</v>
      </c>
      <c r="R665" t="s">
        <v>8318</v>
      </c>
      <c r="S665" s="14">
        <f t="shared" si="62"/>
        <v>42173.843240740738</v>
      </c>
      <c r="T665" s="14">
        <f t="shared" si="63"/>
        <v>42203.843240740738</v>
      </c>
      <c r="U665" s="64">
        <f t="shared" si="64"/>
        <v>30</v>
      </c>
      <c r="V665" s="13" t="str">
        <f t="shared" si="65"/>
        <v>underfunded</v>
      </c>
    </row>
    <row r="666" spans="1:22" ht="48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8316</v>
      </c>
      <c r="R666" t="s">
        <v>8318</v>
      </c>
      <c r="S666" s="14">
        <f t="shared" si="62"/>
        <v>42077.666377314818</v>
      </c>
      <c r="T666" s="14">
        <f t="shared" si="63"/>
        <v>42107.666377314818</v>
      </c>
      <c r="U666" s="64">
        <f t="shared" si="64"/>
        <v>30</v>
      </c>
      <c r="V666" s="13" t="str">
        <f t="shared" si="65"/>
        <v>underfunded</v>
      </c>
    </row>
    <row r="667" spans="1:22" ht="48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8316</v>
      </c>
      <c r="R667" t="s">
        <v>8318</v>
      </c>
      <c r="S667" s="14">
        <f t="shared" si="62"/>
        <v>42688.711354166662</v>
      </c>
      <c r="T667" s="14">
        <f t="shared" si="63"/>
        <v>42748.711354166662</v>
      </c>
      <c r="U667" s="64">
        <f t="shared" si="64"/>
        <v>60</v>
      </c>
      <c r="V667" s="13" t="str">
        <f t="shared" si="65"/>
        <v>underfunded</v>
      </c>
    </row>
    <row r="668" spans="1:22" ht="48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0" t="s">
        <v>8316</v>
      </c>
      <c r="R668" t="s">
        <v>8318</v>
      </c>
      <c r="S668" s="14">
        <f t="shared" si="62"/>
        <v>41838.832152777781</v>
      </c>
      <c r="T668" s="14">
        <f t="shared" si="63"/>
        <v>41868.832152777781</v>
      </c>
      <c r="U668" s="64">
        <f t="shared" si="64"/>
        <v>30</v>
      </c>
      <c r="V668" s="13" t="str">
        <f t="shared" si="65"/>
        <v>underfunded</v>
      </c>
    </row>
    <row r="669" spans="1:22" ht="48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8316</v>
      </c>
      <c r="R669" t="s">
        <v>8318</v>
      </c>
      <c r="S669" s="14">
        <f t="shared" si="62"/>
        <v>42632.373414351852</v>
      </c>
      <c r="T669" s="14">
        <f t="shared" si="63"/>
        <v>42672.373414351852</v>
      </c>
      <c r="U669" s="64">
        <f t="shared" si="64"/>
        <v>40</v>
      </c>
      <c r="V669" s="13" t="str">
        <f t="shared" si="65"/>
        <v>underfunded</v>
      </c>
    </row>
    <row r="670" spans="1:22" ht="48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8316</v>
      </c>
      <c r="R670" t="s">
        <v>8318</v>
      </c>
      <c r="S670" s="14">
        <f t="shared" si="62"/>
        <v>42090.831273148149</v>
      </c>
      <c r="T670" s="14">
        <f t="shared" si="63"/>
        <v>42135.831273148149</v>
      </c>
      <c r="U670" s="64">
        <f t="shared" si="64"/>
        <v>45</v>
      </c>
      <c r="V670" s="13" t="str">
        <f t="shared" si="65"/>
        <v>underfunded</v>
      </c>
    </row>
    <row r="671" spans="1:22" ht="6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8316</v>
      </c>
      <c r="R671" t="s">
        <v>8318</v>
      </c>
      <c r="S671" s="14">
        <f t="shared" si="62"/>
        <v>42527.625671296293</v>
      </c>
      <c r="T671" s="14">
        <f t="shared" si="63"/>
        <v>42557.625671296293</v>
      </c>
      <c r="U671" s="64">
        <f t="shared" si="64"/>
        <v>30</v>
      </c>
      <c r="V671" s="13" t="str">
        <f t="shared" si="65"/>
        <v>underfunded</v>
      </c>
    </row>
    <row r="672" spans="1:22" ht="48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8316</v>
      </c>
      <c r="R672" t="s">
        <v>8318</v>
      </c>
      <c r="S672" s="14">
        <f t="shared" si="62"/>
        <v>42506.709722222222</v>
      </c>
      <c r="T672" s="14">
        <f t="shared" si="63"/>
        <v>42540.340277777781</v>
      </c>
      <c r="U672" s="64">
        <f t="shared" si="64"/>
        <v>33.630555555559113</v>
      </c>
      <c r="V672" s="13" t="str">
        <f t="shared" si="65"/>
        <v>underfunded</v>
      </c>
    </row>
    <row r="673" spans="1:22" ht="48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8316</v>
      </c>
      <c r="R673" t="s">
        <v>8318</v>
      </c>
      <c r="S673" s="14">
        <f t="shared" si="62"/>
        <v>41984.692731481482</v>
      </c>
      <c r="T673" s="14">
        <f t="shared" si="63"/>
        <v>42018.166666666672</v>
      </c>
      <c r="U673" s="64">
        <f t="shared" si="64"/>
        <v>33.473935185189475</v>
      </c>
      <c r="V673" s="13" t="str">
        <f t="shared" si="65"/>
        <v>underfunded</v>
      </c>
    </row>
    <row r="674" spans="1:22" ht="48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8316</v>
      </c>
      <c r="R674" t="s">
        <v>8318</v>
      </c>
      <c r="S674" s="14">
        <f t="shared" si="62"/>
        <v>41974.219490740739</v>
      </c>
      <c r="T674" s="14">
        <f t="shared" si="63"/>
        <v>42005.207638888889</v>
      </c>
      <c r="U674" s="64">
        <f t="shared" si="64"/>
        <v>30.988148148149776</v>
      </c>
      <c r="V674" s="13" t="str">
        <f t="shared" si="65"/>
        <v>underfunded</v>
      </c>
    </row>
    <row r="675" spans="1:22" ht="48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0" t="s">
        <v>8316</v>
      </c>
      <c r="R675" t="s">
        <v>8318</v>
      </c>
      <c r="S675" s="14">
        <f t="shared" si="62"/>
        <v>41838.840474537035</v>
      </c>
      <c r="T675" s="14">
        <f t="shared" si="63"/>
        <v>41883.840474537035</v>
      </c>
      <c r="U675" s="64">
        <f t="shared" si="64"/>
        <v>45</v>
      </c>
      <c r="V675" s="13" t="str">
        <f t="shared" si="65"/>
        <v>underfunded</v>
      </c>
    </row>
    <row r="676" spans="1:22" ht="3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0" t="s">
        <v>8316</v>
      </c>
      <c r="R676" t="s">
        <v>8318</v>
      </c>
      <c r="S676" s="14">
        <f t="shared" si="62"/>
        <v>41803.116053240738</v>
      </c>
      <c r="T676" s="14">
        <f t="shared" si="63"/>
        <v>41863.116053240738</v>
      </c>
      <c r="U676" s="64">
        <f t="shared" si="64"/>
        <v>60</v>
      </c>
      <c r="V676" s="13" t="str">
        <f t="shared" si="65"/>
        <v>underfunded</v>
      </c>
    </row>
    <row r="677" spans="1:22" ht="48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8316</v>
      </c>
      <c r="R677" t="s">
        <v>8318</v>
      </c>
      <c r="S677" s="14">
        <f t="shared" si="62"/>
        <v>41975.930601851855</v>
      </c>
      <c r="T677" s="14">
        <f t="shared" si="63"/>
        <v>42005.290972222225</v>
      </c>
      <c r="U677" s="64">
        <f t="shared" si="64"/>
        <v>29.360370370370219</v>
      </c>
      <c r="V677" s="13" t="str">
        <f t="shared" si="65"/>
        <v>underfunded</v>
      </c>
    </row>
    <row r="678" spans="1:22" ht="6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8316</v>
      </c>
      <c r="R678" t="s">
        <v>8318</v>
      </c>
      <c r="S678" s="14">
        <f t="shared" si="62"/>
        <v>42012.768298611118</v>
      </c>
      <c r="T678" s="14">
        <f t="shared" si="63"/>
        <v>42042.768298611118</v>
      </c>
      <c r="U678" s="64">
        <f t="shared" si="64"/>
        <v>30</v>
      </c>
      <c r="V678" s="13" t="str">
        <f t="shared" si="65"/>
        <v>underfunded</v>
      </c>
    </row>
    <row r="679" spans="1:22" ht="48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8316</v>
      </c>
      <c r="R679" t="s">
        <v>8318</v>
      </c>
      <c r="S679" s="14">
        <f t="shared" si="62"/>
        <v>42504.403877314813</v>
      </c>
      <c r="T679" s="14">
        <f t="shared" si="63"/>
        <v>42549.403877314813</v>
      </c>
      <c r="U679" s="64">
        <f t="shared" si="64"/>
        <v>45</v>
      </c>
      <c r="V679" s="13" t="str">
        <f t="shared" si="65"/>
        <v>underfunded</v>
      </c>
    </row>
    <row r="680" spans="1:22" ht="48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8316</v>
      </c>
      <c r="R680" t="s">
        <v>8318</v>
      </c>
      <c r="S680" s="14">
        <f t="shared" si="62"/>
        <v>42481.376597222217</v>
      </c>
      <c r="T680" s="14">
        <f t="shared" si="63"/>
        <v>42511.376597222217</v>
      </c>
      <c r="U680" s="64">
        <f t="shared" si="64"/>
        <v>30</v>
      </c>
      <c r="V680" s="13" t="str">
        <f t="shared" si="65"/>
        <v>underfunded</v>
      </c>
    </row>
    <row r="681" spans="1:22" ht="48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8316</v>
      </c>
      <c r="R681" t="s">
        <v>8318</v>
      </c>
      <c r="S681" s="14">
        <f t="shared" si="62"/>
        <v>42556.695706018523</v>
      </c>
      <c r="T681" s="14">
        <f t="shared" si="63"/>
        <v>42616.695706018523</v>
      </c>
      <c r="U681" s="64">
        <f t="shared" si="64"/>
        <v>60</v>
      </c>
      <c r="V681" s="13" t="str">
        <f t="shared" si="65"/>
        <v>underfunded</v>
      </c>
    </row>
    <row r="682" spans="1:22" ht="48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8316</v>
      </c>
      <c r="R682" t="s">
        <v>8318</v>
      </c>
      <c r="S682" s="14">
        <f t="shared" si="62"/>
        <v>41864.501516203702</v>
      </c>
      <c r="T682" s="14">
        <f t="shared" si="63"/>
        <v>41899.501516203702</v>
      </c>
      <c r="U682" s="64">
        <f t="shared" si="64"/>
        <v>35</v>
      </c>
      <c r="V682" s="13" t="str">
        <f t="shared" si="65"/>
        <v>underfunded</v>
      </c>
    </row>
    <row r="683" spans="1:22" ht="48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0" t="s">
        <v>8316</v>
      </c>
      <c r="R683" t="s">
        <v>8318</v>
      </c>
      <c r="S683" s="14">
        <f t="shared" si="62"/>
        <v>42639.805601851855</v>
      </c>
      <c r="T683" s="14">
        <f t="shared" si="63"/>
        <v>42669.805601851855</v>
      </c>
      <c r="U683" s="64">
        <f t="shared" si="64"/>
        <v>30</v>
      </c>
      <c r="V683" s="13" t="str">
        <f t="shared" si="65"/>
        <v>underfunded</v>
      </c>
    </row>
    <row r="684" spans="1:22" ht="48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0" t="s">
        <v>8316</v>
      </c>
      <c r="R684" t="s">
        <v>8318</v>
      </c>
      <c r="S684" s="14">
        <f t="shared" si="62"/>
        <v>42778.765300925923</v>
      </c>
      <c r="T684" s="14">
        <f t="shared" si="63"/>
        <v>42808.723634259266</v>
      </c>
      <c r="U684" s="64">
        <f t="shared" si="64"/>
        <v>29.958333333343035</v>
      </c>
      <c r="V684" s="13" t="str">
        <f t="shared" si="65"/>
        <v>underfunded</v>
      </c>
    </row>
    <row r="685" spans="1:22" ht="48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8316</v>
      </c>
      <c r="R685" t="s">
        <v>8318</v>
      </c>
      <c r="S685" s="14">
        <f t="shared" si="62"/>
        <v>42634.900046296301</v>
      </c>
      <c r="T685" s="14">
        <f t="shared" si="63"/>
        <v>42674.900046296301</v>
      </c>
      <c r="U685" s="64">
        <f t="shared" si="64"/>
        <v>40</v>
      </c>
      <c r="V685" s="13" t="str">
        <f t="shared" si="65"/>
        <v>underfunded</v>
      </c>
    </row>
    <row r="686" spans="1:22" ht="16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8316</v>
      </c>
      <c r="R686" t="s">
        <v>8318</v>
      </c>
      <c r="S686" s="14">
        <f t="shared" si="62"/>
        <v>41809.473275462966</v>
      </c>
      <c r="T686" s="14">
        <f t="shared" si="63"/>
        <v>41845.125</v>
      </c>
      <c r="U686" s="64">
        <f t="shared" si="64"/>
        <v>35.65172453703417</v>
      </c>
      <c r="V686" s="13" t="str">
        <f t="shared" si="65"/>
        <v>underfunded</v>
      </c>
    </row>
    <row r="687" spans="1:22" ht="48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8316</v>
      </c>
      <c r="R687" t="s">
        <v>8318</v>
      </c>
      <c r="S687" s="14">
        <f t="shared" si="62"/>
        <v>41971.866574074069</v>
      </c>
      <c r="T687" s="14">
        <f t="shared" si="63"/>
        <v>42016.866574074069</v>
      </c>
      <c r="U687" s="64">
        <f t="shared" si="64"/>
        <v>45</v>
      </c>
      <c r="V687" s="13" t="str">
        <f t="shared" si="65"/>
        <v>underfunded</v>
      </c>
    </row>
    <row r="688" spans="1:22" ht="6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0" t="s">
        <v>8316</v>
      </c>
      <c r="R688" t="s">
        <v>8318</v>
      </c>
      <c r="S688" s="14">
        <f t="shared" si="62"/>
        <v>42189.673263888893</v>
      </c>
      <c r="T688" s="14">
        <f t="shared" si="63"/>
        <v>42219.673263888893</v>
      </c>
      <c r="U688" s="64">
        <f t="shared" si="64"/>
        <v>30</v>
      </c>
      <c r="V688" s="13" t="str">
        <f t="shared" si="65"/>
        <v>underfunded</v>
      </c>
    </row>
    <row r="689" spans="1:22" ht="48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8316</v>
      </c>
      <c r="R689" t="s">
        <v>8318</v>
      </c>
      <c r="S689" s="14">
        <f t="shared" si="62"/>
        <v>42711.750613425931</v>
      </c>
      <c r="T689" s="14">
        <f t="shared" si="63"/>
        <v>42771.750613425931</v>
      </c>
      <c r="U689" s="64">
        <f t="shared" si="64"/>
        <v>60</v>
      </c>
      <c r="V689" s="13" t="str">
        <f t="shared" si="65"/>
        <v>underfunded</v>
      </c>
    </row>
    <row r="690" spans="1:22" ht="48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8316</v>
      </c>
      <c r="R690" t="s">
        <v>8318</v>
      </c>
      <c r="S690" s="14">
        <f t="shared" si="62"/>
        <v>42262.104780092588</v>
      </c>
      <c r="T690" s="14">
        <f t="shared" si="63"/>
        <v>42292.104780092588</v>
      </c>
      <c r="U690" s="64">
        <f t="shared" si="64"/>
        <v>30</v>
      </c>
      <c r="V690" s="13" t="str">
        <f t="shared" si="65"/>
        <v>underfunded</v>
      </c>
    </row>
    <row r="691" spans="1:22" ht="48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8316</v>
      </c>
      <c r="R691" t="s">
        <v>8318</v>
      </c>
      <c r="S691" s="14">
        <f t="shared" si="62"/>
        <v>42675.66778935185</v>
      </c>
      <c r="T691" s="14">
        <f t="shared" si="63"/>
        <v>42712.207638888889</v>
      </c>
      <c r="U691" s="64">
        <f t="shared" si="64"/>
        <v>36.539849537039117</v>
      </c>
      <c r="V691" s="13" t="str">
        <f t="shared" si="65"/>
        <v>underfunded</v>
      </c>
    </row>
    <row r="692" spans="1:22" ht="3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8316</v>
      </c>
      <c r="R692" t="s">
        <v>8318</v>
      </c>
      <c r="S692" s="14">
        <f t="shared" si="62"/>
        <v>42579.634733796294</v>
      </c>
      <c r="T692" s="14">
        <f t="shared" si="63"/>
        <v>42622.25</v>
      </c>
      <c r="U692" s="64">
        <f t="shared" si="64"/>
        <v>42.615266203705687</v>
      </c>
      <c r="V692" s="13" t="str">
        <f t="shared" si="65"/>
        <v>underfunded</v>
      </c>
    </row>
    <row r="693" spans="1:22" ht="48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8316</v>
      </c>
      <c r="R693" t="s">
        <v>8318</v>
      </c>
      <c r="S693" s="14">
        <f t="shared" si="62"/>
        <v>42158.028310185182</v>
      </c>
      <c r="T693" s="14">
        <f t="shared" si="63"/>
        <v>42186.028310185182</v>
      </c>
      <c r="U693" s="64">
        <f t="shared" si="64"/>
        <v>28</v>
      </c>
      <c r="V693" s="13" t="str">
        <f t="shared" si="65"/>
        <v>underfunded</v>
      </c>
    </row>
    <row r="694" spans="1:22" ht="48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8316</v>
      </c>
      <c r="R694" t="s">
        <v>8318</v>
      </c>
      <c r="S694" s="14">
        <f t="shared" si="62"/>
        <v>42696.37572916667</v>
      </c>
      <c r="T694" s="14">
        <f t="shared" si="63"/>
        <v>42726.37572916667</v>
      </c>
      <c r="U694" s="64">
        <f t="shared" si="64"/>
        <v>30</v>
      </c>
      <c r="V694" s="13" t="str">
        <f t="shared" si="65"/>
        <v>underfunded</v>
      </c>
    </row>
    <row r="695" spans="1:22" ht="3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8316</v>
      </c>
      <c r="R695" t="s">
        <v>8318</v>
      </c>
      <c r="S695" s="14">
        <f t="shared" si="62"/>
        <v>42094.808182870373</v>
      </c>
      <c r="T695" s="14">
        <f t="shared" si="63"/>
        <v>42124.808182870373</v>
      </c>
      <c r="U695" s="64">
        <f t="shared" si="64"/>
        <v>30</v>
      </c>
      <c r="V695" s="13" t="str">
        <f t="shared" si="65"/>
        <v>underfunded</v>
      </c>
    </row>
    <row r="696" spans="1:22" ht="48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0" t="s">
        <v>8316</v>
      </c>
      <c r="R696" t="s">
        <v>8318</v>
      </c>
      <c r="S696" s="14">
        <f t="shared" si="62"/>
        <v>42737.663877314815</v>
      </c>
      <c r="T696" s="14">
        <f t="shared" si="63"/>
        <v>42767.663877314815</v>
      </c>
      <c r="U696" s="64">
        <f t="shared" si="64"/>
        <v>30</v>
      </c>
      <c r="V696" s="13" t="str">
        <f t="shared" si="65"/>
        <v>underfunded</v>
      </c>
    </row>
    <row r="697" spans="1:22" ht="48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8316</v>
      </c>
      <c r="R697" t="s">
        <v>8318</v>
      </c>
      <c r="S697" s="14">
        <f t="shared" si="62"/>
        <v>41913.521064814813</v>
      </c>
      <c r="T697" s="14">
        <f t="shared" si="63"/>
        <v>41943.521064814813</v>
      </c>
      <c r="U697" s="64">
        <f t="shared" si="64"/>
        <v>30</v>
      </c>
      <c r="V697" s="13" t="str">
        <f t="shared" si="65"/>
        <v>underfunded</v>
      </c>
    </row>
    <row r="698" spans="1:22" ht="3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0" t="s">
        <v>8316</v>
      </c>
      <c r="R698" t="s">
        <v>8318</v>
      </c>
      <c r="S698" s="14">
        <f t="shared" si="62"/>
        <v>41815.927106481482</v>
      </c>
      <c r="T698" s="14">
        <f t="shared" si="63"/>
        <v>41845.927106481482</v>
      </c>
      <c r="U698" s="64">
        <f t="shared" si="64"/>
        <v>30</v>
      </c>
      <c r="V698" s="13" t="str">
        <f t="shared" si="65"/>
        <v>underfunded</v>
      </c>
    </row>
    <row r="699" spans="1:22" ht="48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8316</v>
      </c>
      <c r="R699" t="s">
        <v>8318</v>
      </c>
      <c r="S699" s="14">
        <f t="shared" si="62"/>
        <v>42388.523020833338</v>
      </c>
      <c r="T699" s="14">
        <f t="shared" si="63"/>
        <v>42403.523020833338</v>
      </c>
      <c r="U699" s="64">
        <f t="shared" si="64"/>
        <v>15</v>
      </c>
      <c r="V699" s="13" t="str">
        <f t="shared" si="65"/>
        <v>underfunded</v>
      </c>
    </row>
    <row r="700" spans="1:22" ht="48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8316</v>
      </c>
      <c r="R700" t="s">
        <v>8318</v>
      </c>
      <c r="S700" s="14">
        <f t="shared" si="62"/>
        <v>41866.931076388886</v>
      </c>
      <c r="T700" s="14">
        <f t="shared" si="63"/>
        <v>41900.083333333336</v>
      </c>
      <c r="U700" s="64">
        <f t="shared" si="64"/>
        <v>33.152256944449618</v>
      </c>
      <c r="V700" s="13" t="str">
        <f t="shared" si="65"/>
        <v>underfunded</v>
      </c>
    </row>
    <row r="701" spans="1:22" ht="48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8316</v>
      </c>
      <c r="R701" t="s">
        <v>8318</v>
      </c>
      <c r="S701" s="14">
        <f t="shared" si="62"/>
        <v>41563.485509259262</v>
      </c>
      <c r="T701" s="14">
        <f t="shared" si="63"/>
        <v>41600.666666666664</v>
      </c>
      <c r="U701" s="64">
        <f t="shared" si="64"/>
        <v>37.18115740740177</v>
      </c>
      <c r="V701" s="13" t="str">
        <f t="shared" si="65"/>
        <v>underfunded</v>
      </c>
    </row>
    <row r="702" spans="1:22" ht="48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8316</v>
      </c>
      <c r="R702" t="s">
        <v>8318</v>
      </c>
      <c r="S702" s="14">
        <f t="shared" si="62"/>
        <v>42715.688437500001</v>
      </c>
      <c r="T702" s="14">
        <f t="shared" si="63"/>
        <v>42745.688437500001</v>
      </c>
      <c r="U702" s="64">
        <f t="shared" si="64"/>
        <v>30</v>
      </c>
      <c r="V702" s="13" t="str">
        <f t="shared" si="65"/>
        <v>underfunded</v>
      </c>
    </row>
    <row r="703" spans="1:22" ht="48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8316</v>
      </c>
      <c r="R703" t="s">
        <v>8318</v>
      </c>
      <c r="S703" s="14">
        <f t="shared" si="62"/>
        <v>41813.662962962961</v>
      </c>
      <c r="T703" s="14">
        <f t="shared" si="63"/>
        <v>41843.662962962961</v>
      </c>
      <c r="U703" s="64">
        <f t="shared" si="64"/>
        <v>30</v>
      </c>
      <c r="V703" s="13" t="str">
        <f t="shared" si="65"/>
        <v>underfunded</v>
      </c>
    </row>
    <row r="704" spans="1:22" ht="48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8316</v>
      </c>
      <c r="R704" t="s">
        <v>8318</v>
      </c>
      <c r="S704" s="14">
        <f t="shared" si="62"/>
        <v>42668.726701388892</v>
      </c>
      <c r="T704" s="14">
        <f t="shared" si="63"/>
        <v>42698.768368055549</v>
      </c>
      <c r="U704" s="64">
        <f t="shared" si="64"/>
        <v>30.041666666656965</v>
      </c>
      <c r="V704" s="13" t="str">
        <f t="shared" si="65"/>
        <v>underfunded</v>
      </c>
    </row>
    <row r="705" spans="1:22" ht="48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8316</v>
      </c>
      <c r="R705" t="s">
        <v>8318</v>
      </c>
      <c r="S705" s="14">
        <f t="shared" si="62"/>
        <v>42711.950798611113</v>
      </c>
      <c r="T705" s="14">
        <f t="shared" si="63"/>
        <v>42766.98055555555</v>
      </c>
      <c r="U705" s="64">
        <f t="shared" si="64"/>
        <v>55.029756944437395</v>
      </c>
      <c r="V705" s="13" t="str">
        <f t="shared" si="65"/>
        <v>underfunded</v>
      </c>
    </row>
    <row r="706" spans="1:22" ht="48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s="10" t="s">
        <v>8316</v>
      </c>
      <c r="R706" t="s">
        <v>8318</v>
      </c>
      <c r="S706" s="14">
        <f t="shared" si="62"/>
        <v>42726.192916666667</v>
      </c>
      <c r="T706" s="14">
        <f t="shared" si="63"/>
        <v>42786.192916666667</v>
      </c>
      <c r="U706" s="64">
        <f t="shared" si="64"/>
        <v>60</v>
      </c>
      <c r="V706" s="13" t="str">
        <f t="shared" si="65"/>
        <v>underfunded</v>
      </c>
    </row>
    <row r="707" spans="1:22" ht="3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ROUND(E707/D707*100,0)</f>
        <v>1</v>
      </c>
      <c r="P707">
        <f t="shared" ref="P707:P770" si="67">IFERROR(ROUND(E707/L707,2), 0)</f>
        <v>195.4</v>
      </c>
      <c r="Q707" s="10" t="s">
        <v>8316</v>
      </c>
      <c r="R707" t="s">
        <v>8318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 s="64">
        <f t="shared" ref="U707:V770" si="70">T707-S707</f>
        <v>30</v>
      </c>
      <c r="V707" s="13" t="str">
        <f t="shared" ref="V707:V770" si="71">IF(E707&gt;=D707, "funded", "underfunded")</f>
        <v>underfunded</v>
      </c>
    </row>
    <row r="708" spans="1:22" ht="48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0" t="s">
        <v>8316</v>
      </c>
      <c r="R708" t="s">
        <v>8318</v>
      </c>
      <c r="S708" s="14">
        <f t="shared" si="68"/>
        <v>42676.995173611111</v>
      </c>
      <c r="T708" s="14">
        <f t="shared" si="69"/>
        <v>42718.777083333334</v>
      </c>
      <c r="U708" s="64">
        <f t="shared" si="70"/>
        <v>41.781909722223645</v>
      </c>
      <c r="V708" s="13" t="str">
        <f t="shared" si="71"/>
        <v>underfunded</v>
      </c>
    </row>
    <row r="709" spans="1:22" ht="48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8316</v>
      </c>
      <c r="R709" t="s">
        <v>8318</v>
      </c>
      <c r="S709" s="14">
        <f t="shared" si="68"/>
        <v>42696.663506944446</v>
      </c>
      <c r="T709" s="14">
        <f t="shared" si="69"/>
        <v>42736.663506944446</v>
      </c>
      <c r="U709" s="64">
        <f t="shared" si="70"/>
        <v>40</v>
      </c>
      <c r="V709" s="13" t="str">
        <f t="shared" si="71"/>
        <v>underfunded</v>
      </c>
    </row>
    <row r="710" spans="1:22" ht="48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8316</v>
      </c>
      <c r="R710" t="s">
        <v>8318</v>
      </c>
      <c r="S710" s="14">
        <f t="shared" si="68"/>
        <v>41835.581018518518</v>
      </c>
      <c r="T710" s="14">
        <f t="shared" si="69"/>
        <v>41895.581018518518</v>
      </c>
      <c r="U710" s="64">
        <f t="shared" si="70"/>
        <v>60</v>
      </c>
      <c r="V710" s="13" t="str">
        <f t="shared" si="71"/>
        <v>underfunded</v>
      </c>
    </row>
    <row r="711" spans="1:22" ht="3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0" t="s">
        <v>8316</v>
      </c>
      <c r="R711" t="s">
        <v>8318</v>
      </c>
      <c r="S711" s="14">
        <f t="shared" si="68"/>
        <v>41948.041192129633</v>
      </c>
      <c r="T711" s="14">
        <f t="shared" si="69"/>
        <v>41978.041192129633</v>
      </c>
      <c r="U711" s="64">
        <f t="shared" si="70"/>
        <v>30</v>
      </c>
      <c r="V711" s="13" t="str">
        <f t="shared" si="71"/>
        <v>underfunded</v>
      </c>
    </row>
    <row r="712" spans="1:22" ht="3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0" t="s">
        <v>8316</v>
      </c>
      <c r="R712" t="s">
        <v>8318</v>
      </c>
      <c r="S712" s="14">
        <f t="shared" si="68"/>
        <v>41837.984976851854</v>
      </c>
      <c r="T712" s="14">
        <f t="shared" si="69"/>
        <v>41871.030555555553</v>
      </c>
      <c r="U712" s="64">
        <f t="shared" si="70"/>
        <v>33.045578703698993</v>
      </c>
      <c r="V712" s="13" t="str">
        <f t="shared" si="71"/>
        <v>underfunded</v>
      </c>
    </row>
    <row r="713" spans="1:22" ht="48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8316</v>
      </c>
      <c r="R713" t="s">
        <v>8318</v>
      </c>
      <c r="S713" s="14">
        <f t="shared" si="68"/>
        <v>42678.459120370375</v>
      </c>
      <c r="T713" s="14">
        <f t="shared" si="69"/>
        <v>42718.500787037032</v>
      </c>
      <c r="U713" s="64">
        <f t="shared" si="70"/>
        <v>40.041666666656965</v>
      </c>
      <c r="V713" s="13" t="str">
        <f t="shared" si="71"/>
        <v>underfunded</v>
      </c>
    </row>
    <row r="714" spans="1:22" ht="48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0" t="s">
        <v>8316</v>
      </c>
      <c r="R714" t="s">
        <v>8318</v>
      </c>
      <c r="S714" s="14">
        <f t="shared" si="68"/>
        <v>42384.680925925932</v>
      </c>
      <c r="T714" s="14">
        <f t="shared" si="69"/>
        <v>42414.680925925932</v>
      </c>
      <c r="U714" s="64">
        <f t="shared" si="70"/>
        <v>30</v>
      </c>
      <c r="V714" s="13" t="str">
        <f t="shared" si="71"/>
        <v>underfunded</v>
      </c>
    </row>
    <row r="715" spans="1:22" ht="48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8316</v>
      </c>
      <c r="R715" t="s">
        <v>8318</v>
      </c>
      <c r="S715" s="14">
        <f t="shared" si="68"/>
        <v>42496.529305555552</v>
      </c>
      <c r="T715" s="14">
        <f t="shared" si="69"/>
        <v>42526.529305555552</v>
      </c>
      <c r="U715" s="64">
        <f t="shared" si="70"/>
        <v>30</v>
      </c>
      <c r="V715" s="13" t="str">
        <f t="shared" si="71"/>
        <v>underfunded</v>
      </c>
    </row>
    <row r="716" spans="1:22" ht="48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8316</v>
      </c>
      <c r="R716" t="s">
        <v>8318</v>
      </c>
      <c r="S716" s="14">
        <f t="shared" si="68"/>
        <v>42734.787986111114</v>
      </c>
      <c r="T716" s="14">
        <f t="shared" si="69"/>
        <v>42794.787986111114</v>
      </c>
      <c r="U716" s="64">
        <f t="shared" si="70"/>
        <v>60</v>
      </c>
      <c r="V716" s="13" t="str">
        <f t="shared" si="71"/>
        <v>underfunded</v>
      </c>
    </row>
    <row r="717" spans="1:22" ht="48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8316</v>
      </c>
      <c r="R717" t="s">
        <v>8318</v>
      </c>
      <c r="S717" s="14">
        <f t="shared" si="68"/>
        <v>42273.090740740736</v>
      </c>
      <c r="T717" s="14">
        <f t="shared" si="69"/>
        <v>42313.132407407407</v>
      </c>
      <c r="U717" s="64">
        <f t="shared" si="70"/>
        <v>40.041666666671517</v>
      </c>
      <c r="V717" s="13" t="str">
        <f t="shared" si="71"/>
        <v>underfunded</v>
      </c>
    </row>
    <row r="718" spans="1:22" ht="48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8316</v>
      </c>
      <c r="R718" t="s">
        <v>8318</v>
      </c>
      <c r="S718" s="14">
        <f t="shared" si="68"/>
        <v>41940.658645833333</v>
      </c>
      <c r="T718" s="14">
        <f t="shared" si="69"/>
        <v>41974</v>
      </c>
      <c r="U718" s="64">
        <f t="shared" si="70"/>
        <v>33.341354166666861</v>
      </c>
      <c r="V718" s="13" t="str">
        <f t="shared" si="71"/>
        <v>underfunded</v>
      </c>
    </row>
    <row r="719" spans="1:22" ht="16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0" t="s">
        <v>8316</v>
      </c>
      <c r="R719" t="s">
        <v>8318</v>
      </c>
      <c r="S719" s="14">
        <f t="shared" si="68"/>
        <v>41857.854189814818</v>
      </c>
      <c r="T719" s="14">
        <f t="shared" si="69"/>
        <v>41887.854189814818</v>
      </c>
      <c r="U719" s="64">
        <f t="shared" si="70"/>
        <v>30</v>
      </c>
      <c r="V719" s="13" t="str">
        <f t="shared" si="71"/>
        <v>underfunded</v>
      </c>
    </row>
    <row r="720" spans="1:22" ht="48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8316</v>
      </c>
      <c r="R720" t="s">
        <v>8318</v>
      </c>
      <c r="S720" s="14">
        <f t="shared" si="68"/>
        <v>42752.845451388886</v>
      </c>
      <c r="T720" s="14">
        <f t="shared" si="69"/>
        <v>42784.249305555553</v>
      </c>
      <c r="U720" s="64">
        <f t="shared" si="70"/>
        <v>31.403854166666861</v>
      </c>
      <c r="V720" s="13" t="str">
        <f t="shared" si="71"/>
        <v>underfunded</v>
      </c>
    </row>
    <row r="721" spans="1:22" ht="48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8316</v>
      </c>
      <c r="R721" t="s">
        <v>8318</v>
      </c>
      <c r="S721" s="14">
        <f t="shared" si="68"/>
        <v>42409.040231481486</v>
      </c>
      <c r="T721" s="14">
        <f t="shared" si="69"/>
        <v>42423.040231481486</v>
      </c>
      <c r="U721" s="64">
        <f t="shared" si="70"/>
        <v>14</v>
      </c>
      <c r="V721" s="13" t="str">
        <f t="shared" si="71"/>
        <v>underfunded</v>
      </c>
    </row>
    <row r="722" spans="1:22" ht="48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8319</v>
      </c>
      <c r="R722" t="s">
        <v>8320</v>
      </c>
      <c r="S722" s="14">
        <f t="shared" si="68"/>
        <v>40909.649201388893</v>
      </c>
      <c r="T722" s="14">
        <f t="shared" si="69"/>
        <v>40937.649201388893</v>
      </c>
      <c r="U722" s="64">
        <f t="shared" si="70"/>
        <v>28</v>
      </c>
      <c r="V722" s="13" t="str">
        <f t="shared" si="71"/>
        <v>funded</v>
      </c>
    </row>
    <row r="723" spans="1:22" ht="48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8319</v>
      </c>
      <c r="R723" t="s">
        <v>8320</v>
      </c>
      <c r="S723" s="14">
        <f t="shared" si="68"/>
        <v>41807.571840277778</v>
      </c>
      <c r="T723" s="14">
        <f t="shared" si="69"/>
        <v>41852.571840277778</v>
      </c>
      <c r="U723" s="64">
        <f t="shared" si="70"/>
        <v>45</v>
      </c>
      <c r="V723" s="13" t="str">
        <f t="shared" si="71"/>
        <v>funded</v>
      </c>
    </row>
    <row r="724" spans="1:22" ht="48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8319</v>
      </c>
      <c r="R724" t="s">
        <v>8320</v>
      </c>
      <c r="S724" s="14">
        <f t="shared" si="68"/>
        <v>40977.805300925924</v>
      </c>
      <c r="T724" s="14">
        <f t="shared" si="69"/>
        <v>41007.76363425926</v>
      </c>
      <c r="U724" s="64">
        <f t="shared" si="70"/>
        <v>29.958333333335759</v>
      </c>
      <c r="V724" s="13" t="str">
        <f t="shared" si="71"/>
        <v>funded</v>
      </c>
    </row>
    <row r="725" spans="1:22" ht="3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8319</v>
      </c>
      <c r="R725" t="s">
        <v>8320</v>
      </c>
      <c r="S725" s="14">
        <f t="shared" si="68"/>
        <v>42184.816539351858</v>
      </c>
      <c r="T725" s="14">
        <f t="shared" si="69"/>
        <v>42215.165972222225</v>
      </c>
      <c r="U725" s="64">
        <f t="shared" si="70"/>
        <v>30.349432870367309</v>
      </c>
      <c r="V725" s="13" t="str">
        <f t="shared" si="71"/>
        <v>funded</v>
      </c>
    </row>
    <row r="726" spans="1:22" ht="48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8319</v>
      </c>
      <c r="R726" t="s">
        <v>8320</v>
      </c>
      <c r="S726" s="14">
        <f t="shared" si="68"/>
        <v>40694.638460648144</v>
      </c>
      <c r="T726" s="14">
        <f t="shared" si="69"/>
        <v>40724.638460648144</v>
      </c>
      <c r="U726" s="64">
        <f t="shared" si="70"/>
        <v>30</v>
      </c>
      <c r="V726" s="13" t="str">
        <f t="shared" si="71"/>
        <v>funded</v>
      </c>
    </row>
    <row r="727" spans="1:22" ht="48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8319</v>
      </c>
      <c r="R727" t="s">
        <v>8320</v>
      </c>
      <c r="S727" s="14">
        <f t="shared" si="68"/>
        <v>42321.626296296294</v>
      </c>
      <c r="T727" s="14">
        <f t="shared" si="69"/>
        <v>42351.626296296294</v>
      </c>
      <c r="U727" s="64">
        <f t="shared" si="70"/>
        <v>30</v>
      </c>
      <c r="V727" s="13" t="str">
        <f t="shared" si="71"/>
        <v>funded</v>
      </c>
    </row>
    <row r="728" spans="1:22" ht="48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8319</v>
      </c>
      <c r="R728" t="s">
        <v>8320</v>
      </c>
      <c r="S728" s="14">
        <f t="shared" si="68"/>
        <v>41346.042673611111</v>
      </c>
      <c r="T728" s="14">
        <f t="shared" si="69"/>
        <v>41376.042673611111</v>
      </c>
      <c r="U728" s="64">
        <f t="shared" si="70"/>
        <v>30</v>
      </c>
      <c r="V728" s="13" t="str">
        <f t="shared" si="71"/>
        <v>funded</v>
      </c>
    </row>
    <row r="729" spans="1:22" ht="48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8319</v>
      </c>
      <c r="R729" t="s">
        <v>8320</v>
      </c>
      <c r="S729" s="14">
        <f t="shared" si="68"/>
        <v>41247.020243055551</v>
      </c>
      <c r="T729" s="14">
        <f t="shared" si="69"/>
        <v>41288.888888888891</v>
      </c>
      <c r="U729" s="64">
        <f t="shared" si="70"/>
        <v>41.868645833339542</v>
      </c>
      <c r="V729" s="13" t="str">
        <f t="shared" si="71"/>
        <v>funded</v>
      </c>
    </row>
    <row r="730" spans="1:22" ht="48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8319</v>
      </c>
      <c r="R730" t="s">
        <v>8320</v>
      </c>
      <c r="S730" s="14">
        <f t="shared" si="68"/>
        <v>40731.837465277778</v>
      </c>
      <c r="T730" s="14">
        <f t="shared" si="69"/>
        <v>40776.837465277778</v>
      </c>
      <c r="U730" s="64">
        <f t="shared" si="70"/>
        <v>45</v>
      </c>
      <c r="V730" s="13" t="str">
        <f t="shared" si="71"/>
        <v>funded</v>
      </c>
    </row>
    <row r="731" spans="1:22" ht="48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8319</v>
      </c>
      <c r="R731" t="s">
        <v>8320</v>
      </c>
      <c r="S731" s="14">
        <f t="shared" si="68"/>
        <v>41111.185891203706</v>
      </c>
      <c r="T731" s="14">
        <f t="shared" si="69"/>
        <v>41171.185891203706</v>
      </c>
      <c r="U731" s="64">
        <f t="shared" si="70"/>
        <v>60</v>
      </c>
      <c r="V731" s="13" t="str">
        <f t="shared" si="71"/>
        <v>funded</v>
      </c>
    </row>
    <row r="732" spans="1:22" ht="3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8319</v>
      </c>
      <c r="R732" t="s">
        <v>8320</v>
      </c>
      <c r="S732" s="14">
        <f t="shared" si="68"/>
        <v>40854.745266203703</v>
      </c>
      <c r="T732" s="14">
        <f t="shared" si="69"/>
        <v>40884.745266203703</v>
      </c>
      <c r="U732" s="64">
        <f t="shared" si="70"/>
        <v>30</v>
      </c>
      <c r="V732" s="13" t="str">
        <f t="shared" si="71"/>
        <v>funded</v>
      </c>
    </row>
    <row r="733" spans="1:22" ht="48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8319</v>
      </c>
      <c r="R733" t="s">
        <v>8320</v>
      </c>
      <c r="S733" s="14">
        <f t="shared" si="68"/>
        <v>40879.795682870368</v>
      </c>
      <c r="T733" s="14">
        <f t="shared" si="69"/>
        <v>40930.25</v>
      </c>
      <c r="U733" s="64">
        <f t="shared" si="70"/>
        <v>50.454317129631818</v>
      </c>
      <c r="V733" s="13" t="str">
        <f t="shared" si="71"/>
        <v>funded</v>
      </c>
    </row>
    <row r="734" spans="1:22" ht="48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8319</v>
      </c>
      <c r="R734" t="s">
        <v>8320</v>
      </c>
      <c r="S734" s="14">
        <f t="shared" si="68"/>
        <v>41486.424317129626</v>
      </c>
      <c r="T734" s="14">
        <f t="shared" si="69"/>
        <v>41546.424317129626</v>
      </c>
      <c r="U734" s="64">
        <f t="shared" si="70"/>
        <v>60</v>
      </c>
      <c r="V734" s="13" t="str">
        <f t="shared" si="71"/>
        <v>funded</v>
      </c>
    </row>
    <row r="735" spans="1:22" ht="48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8319</v>
      </c>
      <c r="R735" t="s">
        <v>8320</v>
      </c>
      <c r="S735" s="14">
        <f t="shared" si="68"/>
        <v>41598.420046296298</v>
      </c>
      <c r="T735" s="14">
        <f t="shared" si="69"/>
        <v>41628.420046296298</v>
      </c>
      <c r="U735" s="64">
        <f t="shared" si="70"/>
        <v>30</v>
      </c>
      <c r="V735" s="13" t="str">
        <f t="shared" si="71"/>
        <v>funded</v>
      </c>
    </row>
    <row r="736" spans="1:22" ht="3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8319</v>
      </c>
      <c r="R736" t="s">
        <v>8320</v>
      </c>
      <c r="S736" s="14">
        <f t="shared" si="68"/>
        <v>42102.164583333331</v>
      </c>
      <c r="T736" s="14">
        <f t="shared" si="69"/>
        <v>42133.208333333328</v>
      </c>
      <c r="U736" s="64">
        <f t="shared" si="70"/>
        <v>31.04374999999709</v>
      </c>
      <c r="V736" s="13" t="str">
        <f t="shared" si="71"/>
        <v>funded</v>
      </c>
    </row>
    <row r="737" spans="1:22" ht="48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8319</v>
      </c>
      <c r="R737" t="s">
        <v>8320</v>
      </c>
      <c r="S737" s="14">
        <f t="shared" si="68"/>
        <v>41946.029467592591</v>
      </c>
      <c r="T737" s="14">
        <f t="shared" si="69"/>
        <v>41977.027083333334</v>
      </c>
      <c r="U737" s="64">
        <f t="shared" si="70"/>
        <v>30.99761574074364</v>
      </c>
      <c r="V737" s="13" t="str">
        <f t="shared" si="71"/>
        <v>funded</v>
      </c>
    </row>
    <row r="738" spans="1:22" ht="48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8319</v>
      </c>
      <c r="R738" t="s">
        <v>8320</v>
      </c>
      <c r="S738" s="14">
        <f t="shared" si="68"/>
        <v>41579.734259259261</v>
      </c>
      <c r="T738" s="14">
        <f t="shared" si="69"/>
        <v>41599.207638888889</v>
      </c>
      <c r="U738" s="64">
        <f t="shared" si="70"/>
        <v>19.473379629627743</v>
      </c>
      <c r="V738" s="13" t="str">
        <f t="shared" si="71"/>
        <v>funded</v>
      </c>
    </row>
    <row r="739" spans="1:22" ht="48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8319</v>
      </c>
      <c r="R739" t="s">
        <v>8320</v>
      </c>
      <c r="S739" s="14">
        <f t="shared" si="68"/>
        <v>41667.275312500002</v>
      </c>
      <c r="T739" s="14">
        <f t="shared" si="69"/>
        <v>41684.833333333336</v>
      </c>
      <c r="U739" s="64">
        <f t="shared" si="70"/>
        <v>17.558020833334012</v>
      </c>
      <c r="V739" s="13" t="str">
        <f t="shared" si="71"/>
        <v>funded</v>
      </c>
    </row>
    <row r="740" spans="1:22" ht="3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8319</v>
      </c>
      <c r="R740" t="s">
        <v>8320</v>
      </c>
      <c r="S740" s="14">
        <f t="shared" si="68"/>
        <v>41943.604097222218</v>
      </c>
      <c r="T740" s="14">
        <f t="shared" si="69"/>
        <v>41974.207638888889</v>
      </c>
      <c r="U740" s="64">
        <f t="shared" si="70"/>
        <v>30.603541666670935</v>
      </c>
      <c r="V740" s="13" t="str">
        <f t="shared" si="71"/>
        <v>funded</v>
      </c>
    </row>
    <row r="741" spans="1:22" ht="48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8319</v>
      </c>
      <c r="R741" t="s">
        <v>8320</v>
      </c>
      <c r="S741" s="14">
        <f t="shared" si="68"/>
        <v>41829.502650462964</v>
      </c>
      <c r="T741" s="14">
        <f t="shared" si="69"/>
        <v>41862.502650462964</v>
      </c>
      <c r="U741" s="64">
        <f t="shared" si="70"/>
        <v>33</v>
      </c>
      <c r="V741" s="13" t="str">
        <f t="shared" si="71"/>
        <v>funded</v>
      </c>
    </row>
    <row r="742" spans="1:22" ht="48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8319</v>
      </c>
      <c r="R742" t="s">
        <v>8320</v>
      </c>
      <c r="S742" s="14">
        <f t="shared" si="68"/>
        <v>42162.146782407406</v>
      </c>
      <c r="T742" s="14">
        <f t="shared" si="69"/>
        <v>42176.146782407406</v>
      </c>
      <c r="U742" s="64">
        <f t="shared" si="70"/>
        <v>14</v>
      </c>
      <c r="V742" s="13" t="str">
        <f t="shared" si="71"/>
        <v>funded</v>
      </c>
    </row>
    <row r="743" spans="1:22" ht="3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8319</v>
      </c>
      <c r="R743" t="s">
        <v>8320</v>
      </c>
      <c r="S743" s="14">
        <f t="shared" si="68"/>
        <v>41401.648217592592</v>
      </c>
      <c r="T743" s="14">
        <f t="shared" si="69"/>
        <v>41436.648217592592</v>
      </c>
      <c r="U743" s="64">
        <f t="shared" si="70"/>
        <v>35</v>
      </c>
      <c r="V743" s="13" t="str">
        <f t="shared" si="71"/>
        <v>funded</v>
      </c>
    </row>
    <row r="744" spans="1:22" ht="48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8319</v>
      </c>
      <c r="R744" t="s">
        <v>8320</v>
      </c>
      <c r="S744" s="14">
        <f t="shared" si="68"/>
        <v>41689.917962962965</v>
      </c>
      <c r="T744" s="14">
        <f t="shared" si="69"/>
        <v>41719.876296296294</v>
      </c>
      <c r="U744" s="64">
        <f t="shared" si="70"/>
        <v>29.958333333328483</v>
      </c>
      <c r="V744" s="13" t="str">
        <f t="shared" si="71"/>
        <v>funded</v>
      </c>
    </row>
    <row r="745" spans="1:22" ht="48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8319</v>
      </c>
      <c r="R745" t="s">
        <v>8320</v>
      </c>
      <c r="S745" s="14">
        <f t="shared" si="68"/>
        <v>40990.709317129629</v>
      </c>
      <c r="T745" s="14">
        <f t="shared" si="69"/>
        <v>41015.875</v>
      </c>
      <c r="U745" s="64">
        <f t="shared" si="70"/>
        <v>25.165682870370802</v>
      </c>
      <c r="V745" s="13" t="str">
        <f t="shared" si="71"/>
        <v>funded</v>
      </c>
    </row>
    <row r="746" spans="1:22" ht="3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8319</v>
      </c>
      <c r="R746" t="s">
        <v>8320</v>
      </c>
      <c r="S746" s="14">
        <f t="shared" si="68"/>
        <v>41226.95721064815</v>
      </c>
      <c r="T746" s="14">
        <f t="shared" si="69"/>
        <v>41256.95721064815</v>
      </c>
      <c r="U746" s="64">
        <f t="shared" si="70"/>
        <v>30</v>
      </c>
      <c r="V746" s="13" t="str">
        <f t="shared" si="71"/>
        <v>funded</v>
      </c>
    </row>
    <row r="747" spans="1:22" ht="48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8319</v>
      </c>
      <c r="R747" t="s">
        <v>8320</v>
      </c>
      <c r="S747" s="14">
        <f t="shared" si="68"/>
        <v>41367.572280092594</v>
      </c>
      <c r="T747" s="14">
        <f t="shared" si="69"/>
        <v>41397.572280092594</v>
      </c>
      <c r="U747" s="64">
        <f t="shared" si="70"/>
        <v>30</v>
      </c>
      <c r="V747" s="13" t="str">
        <f t="shared" si="71"/>
        <v>funded</v>
      </c>
    </row>
    <row r="748" spans="1:22" ht="16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8319</v>
      </c>
      <c r="R748" t="s">
        <v>8320</v>
      </c>
      <c r="S748" s="14">
        <f t="shared" si="68"/>
        <v>41157.042928240742</v>
      </c>
      <c r="T748" s="14">
        <f t="shared" si="69"/>
        <v>41175.165972222225</v>
      </c>
      <c r="U748" s="64">
        <f t="shared" si="70"/>
        <v>18.123043981482624</v>
      </c>
      <c r="V748" s="13" t="str">
        <f t="shared" si="71"/>
        <v>funded</v>
      </c>
    </row>
    <row r="749" spans="1:22" ht="48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8319</v>
      </c>
      <c r="R749" t="s">
        <v>8320</v>
      </c>
      <c r="S749" s="14">
        <f t="shared" si="68"/>
        <v>41988.548831018517</v>
      </c>
      <c r="T749" s="14">
        <f t="shared" si="69"/>
        <v>42019.454166666663</v>
      </c>
      <c r="U749" s="64">
        <f t="shared" si="70"/>
        <v>30.90533564814541</v>
      </c>
      <c r="V749" s="13" t="str">
        <f t="shared" si="71"/>
        <v>funded</v>
      </c>
    </row>
    <row r="750" spans="1:22" ht="48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8319</v>
      </c>
      <c r="R750" t="s">
        <v>8320</v>
      </c>
      <c r="S750" s="14">
        <f t="shared" si="68"/>
        <v>41831.846828703703</v>
      </c>
      <c r="T750" s="14">
        <f t="shared" si="69"/>
        <v>41861.846828703703</v>
      </c>
      <c r="U750" s="64">
        <f t="shared" si="70"/>
        <v>30</v>
      </c>
      <c r="V750" s="13" t="str">
        <f t="shared" si="71"/>
        <v>funded</v>
      </c>
    </row>
    <row r="751" spans="1:22" ht="48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8319</v>
      </c>
      <c r="R751" t="s">
        <v>8320</v>
      </c>
      <c r="S751" s="14">
        <f t="shared" si="68"/>
        <v>42733.94131944445</v>
      </c>
      <c r="T751" s="14">
        <f t="shared" si="69"/>
        <v>42763.94131944445</v>
      </c>
      <c r="U751" s="64">
        <f t="shared" si="70"/>
        <v>30</v>
      </c>
      <c r="V751" s="13" t="str">
        <f t="shared" si="71"/>
        <v>funded</v>
      </c>
    </row>
    <row r="752" spans="1:22" ht="48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8319</v>
      </c>
      <c r="R752" t="s">
        <v>8320</v>
      </c>
      <c r="S752" s="14">
        <f t="shared" si="68"/>
        <v>41299.878148148149</v>
      </c>
      <c r="T752" s="14">
        <f t="shared" si="69"/>
        <v>41329.878148148149</v>
      </c>
      <c r="U752" s="64">
        <f t="shared" si="70"/>
        <v>30</v>
      </c>
      <c r="V752" s="13" t="str">
        <f t="shared" si="71"/>
        <v>funded</v>
      </c>
    </row>
    <row r="753" spans="1:22" ht="48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8319</v>
      </c>
      <c r="R753" t="s">
        <v>8320</v>
      </c>
      <c r="S753" s="14">
        <f t="shared" si="68"/>
        <v>40713.630497685182</v>
      </c>
      <c r="T753" s="14">
        <f t="shared" si="69"/>
        <v>40759.630497685182</v>
      </c>
      <c r="U753" s="64">
        <f t="shared" si="70"/>
        <v>46</v>
      </c>
      <c r="V753" s="13" t="str">
        <f t="shared" si="71"/>
        <v>funded</v>
      </c>
    </row>
    <row r="754" spans="1:22" ht="48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8319</v>
      </c>
      <c r="R754" t="s">
        <v>8320</v>
      </c>
      <c r="S754" s="14">
        <f t="shared" si="68"/>
        <v>42639.421493055561</v>
      </c>
      <c r="T754" s="14">
        <f t="shared" si="69"/>
        <v>42659.458333333328</v>
      </c>
      <c r="U754" s="64">
        <f t="shared" si="70"/>
        <v>20.036840277767624</v>
      </c>
      <c r="V754" s="13" t="str">
        <f t="shared" si="71"/>
        <v>funded</v>
      </c>
    </row>
    <row r="755" spans="1:22" ht="48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8319</v>
      </c>
      <c r="R755" t="s">
        <v>8320</v>
      </c>
      <c r="S755" s="14">
        <f t="shared" si="68"/>
        <v>42019.590173611112</v>
      </c>
      <c r="T755" s="14">
        <f t="shared" si="69"/>
        <v>42049.590173611112</v>
      </c>
      <c r="U755" s="64">
        <f t="shared" si="70"/>
        <v>30</v>
      </c>
      <c r="V755" s="13" t="str">
        <f t="shared" si="71"/>
        <v>funded</v>
      </c>
    </row>
    <row r="756" spans="1:22" ht="48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8319</v>
      </c>
      <c r="R756" t="s">
        <v>8320</v>
      </c>
      <c r="S756" s="14">
        <f t="shared" si="68"/>
        <v>41249.749085648145</v>
      </c>
      <c r="T756" s="14">
        <f t="shared" si="69"/>
        <v>41279.749085648145</v>
      </c>
      <c r="U756" s="64">
        <f t="shared" si="70"/>
        <v>30</v>
      </c>
      <c r="V756" s="13" t="str">
        <f t="shared" si="71"/>
        <v>funded</v>
      </c>
    </row>
    <row r="757" spans="1:22" ht="48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8319</v>
      </c>
      <c r="R757" t="s">
        <v>8320</v>
      </c>
      <c r="S757" s="14">
        <f t="shared" si="68"/>
        <v>41383.605057870373</v>
      </c>
      <c r="T757" s="14">
        <f t="shared" si="69"/>
        <v>41414.02847222222</v>
      </c>
      <c r="U757" s="64">
        <f t="shared" si="70"/>
        <v>30.423414351847896</v>
      </c>
      <c r="V757" s="13" t="str">
        <f t="shared" si="71"/>
        <v>funded</v>
      </c>
    </row>
    <row r="758" spans="1:22" ht="48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8319</v>
      </c>
      <c r="R758" t="s">
        <v>8320</v>
      </c>
      <c r="S758" s="14">
        <f t="shared" si="68"/>
        <v>40590.766886574071</v>
      </c>
      <c r="T758" s="14">
        <f t="shared" si="69"/>
        <v>40651.725219907406</v>
      </c>
      <c r="U758" s="64">
        <f t="shared" si="70"/>
        <v>60.958333333335759</v>
      </c>
      <c r="V758" s="13" t="str">
        <f t="shared" si="71"/>
        <v>funded</v>
      </c>
    </row>
    <row r="759" spans="1:22" ht="48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8319</v>
      </c>
      <c r="R759" t="s">
        <v>8320</v>
      </c>
      <c r="S759" s="14">
        <f t="shared" si="68"/>
        <v>41235.054560185185</v>
      </c>
      <c r="T759" s="14">
        <f t="shared" si="69"/>
        <v>41249.054560185185</v>
      </c>
      <c r="U759" s="64">
        <f t="shared" si="70"/>
        <v>14</v>
      </c>
      <c r="V759" s="13" t="str">
        <f t="shared" si="71"/>
        <v>funded</v>
      </c>
    </row>
    <row r="760" spans="1:22" ht="3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8319</v>
      </c>
      <c r="R760" t="s">
        <v>8320</v>
      </c>
      <c r="S760" s="14">
        <f t="shared" si="68"/>
        <v>40429.836435185185</v>
      </c>
      <c r="T760" s="14">
        <f t="shared" si="69"/>
        <v>40459.836435185185</v>
      </c>
      <c r="U760" s="64">
        <f t="shared" si="70"/>
        <v>30</v>
      </c>
      <c r="V760" s="13" t="str">
        <f t="shared" si="71"/>
        <v>funded</v>
      </c>
    </row>
    <row r="761" spans="1:22" ht="48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8319</v>
      </c>
      <c r="R761" t="s">
        <v>8320</v>
      </c>
      <c r="S761" s="14">
        <f t="shared" si="68"/>
        <v>41789.330312500002</v>
      </c>
      <c r="T761" s="14">
        <f t="shared" si="69"/>
        <v>41829.330312500002</v>
      </c>
      <c r="U761" s="64">
        <f t="shared" si="70"/>
        <v>40</v>
      </c>
      <c r="V761" s="13" t="str">
        <f t="shared" si="71"/>
        <v>funded</v>
      </c>
    </row>
    <row r="762" spans="1:22" ht="48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0" t="s">
        <v>8319</v>
      </c>
      <c r="R762" t="s">
        <v>8321</v>
      </c>
      <c r="S762" s="14">
        <f t="shared" si="68"/>
        <v>42670.764039351852</v>
      </c>
      <c r="T762" s="14">
        <f t="shared" si="69"/>
        <v>42700.805706018517</v>
      </c>
      <c r="U762" s="64">
        <f t="shared" si="70"/>
        <v>30.041666666664241</v>
      </c>
      <c r="V762" s="13" t="str">
        <f t="shared" si="71"/>
        <v>underfunded</v>
      </c>
    </row>
    <row r="763" spans="1:22" ht="48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8319</v>
      </c>
      <c r="R763" t="s">
        <v>8321</v>
      </c>
      <c r="S763" s="14">
        <f t="shared" si="68"/>
        <v>41642.751458333332</v>
      </c>
      <c r="T763" s="14">
        <f t="shared" si="69"/>
        <v>41672.751458333332</v>
      </c>
      <c r="U763" s="64">
        <f t="shared" si="70"/>
        <v>30</v>
      </c>
      <c r="V763" s="13" t="str">
        <f t="shared" si="71"/>
        <v>underfunded</v>
      </c>
    </row>
    <row r="764" spans="1:22" ht="48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0" t="s">
        <v>8319</v>
      </c>
      <c r="R764" t="s">
        <v>8321</v>
      </c>
      <c r="S764" s="14">
        <f t="shared" si="68"/>
        <v>42690.858449074076</v>
      </c>
      <c r="T764" s="14">
        <f t="shared" si="69"/>
        <v>42708.25</v>
      </c>
      <c r="U764" s="64">
        <f t="shared" si="70"/>
        <v>17.391550925924093</v>
      </c>
      <c r="V764" s="13" t="str">
        <f t="shared" si="71"/>
        <v>underfunded</v>
      </c>
    </row>
    <row r="765" spans="1:22" ht="48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0" t="s">
        <v>8319</v>
      </c>
      <c r="R765" t="s">
        <v>8321</v>
      </c>
      <c r="S765" s="14">
        <f t="shared" si="68"/>
        <v>41471.446851851848</v>
      </c>
      <c r="T765" s="14">
        <f t="shared" si="69"/>
        <v>41501.446851851848</v>
      </c>
      <c r="U765" s="64">
        <f t="shared" si="70"/>
        <v>30</v>
      </c>
      <c r="V765" s="13" t="str">
        <f t="shared" si="71"/>
        <v>underfunded</v>
      </c>
    </row>
    <row r="766" spans="1:22" ht="48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0" t="s">
        <v>8319</v>
      </c>
      <c r="R766" t="s">
        <v>8321</v>
      </c>
      <c r="S766" s="14">
        <f t="shared" si="68"/>
        <v>42227.173159722224</v>
      </c>
      <c r="T766" s="14">
        <f t="shared" si="69"/>
        <v>42257.173159722224</v>
      </c>
      <c r="U766" s="64">
        <f t="shared" si="70"/>
        <v>30</v>
      </c>
      <c r="V766" s="13" t="str">
        <f t="shared" si="71"/>
        <v>underfunded</v>
      </c>
    </row>
    <row r="767" spans="1:22" ht="48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8319</v>
      </c>
      <c r="R767" t="s">
        <v>8321</v>
      </c>
      <c r="S767" s="14">
        <f t="shared" si="68"/>
        <v>41901.542638888888</v>
      </c>
      <c r="T767" s="14">
        <f t="shared" si="69"/>
        <v>41931.542638888888</v>
      </c>
      <c r="U767" s="64">
        <f t="shared" si="70"/>
        <v>30</v>
      </c>
      <c r="V767" s="13" t="str">
        <f t="shared" si="71"/>
        <v>underfunded</v>
      </c>
    </row>
    <row r="768" spans="1:22" ht="48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0" t="s">
        <v>8319</v>
      </c>
      <c r="R768" t="s">
        <v>8321</v>
      </c>
      <c r="S768" s="14">
        <f t="shared" si="68"/>
        <v>42021.783368055556</v>
      </c>
      <c r="T768" s="14">
        <f t="shared" si="69"/>
        <v>42051.783368055556</v>
      </c>
      <c r="U768" s="64">
        <f t="shared" si="70"/>
        <v>30</v>
      </c>
      <c r="V768" s="13" t="str">
        <f t="shared" si="71"/>
        <v>underfunded</v>
      </c>
    </row>
    <row r="769" spans="1:22" ht="6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8319</v>
      </c>
      <c r="R769" t="s">
        <v>8321</v>
      </c>
      <c r="S769" s="14">
        <f t="shared" si="68"/>
        <v>42115.143634259264</v>
      </c>
      <c r="T769" s="14">
        <f t="shared" si="69"/>
        <v>42145.143634259264</v>
      </c>
      <c r="U769" s="64">
        <f t="shared" si="70"/>
        <v>30</v>
      </c>
      <c r="V769" s="13" t="str">
        <f t="shared" si="71"/>
        <v>underfunded</v>
      </c>
    </row>
    <row r="770" spans="1:22" ht="48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>
        <f t="shared" si="67"/>
        <v>0</v>
      </c>
      <c r="Q770" s="10" t="s">
        <v>8319</v>
      </c>
      <c r="R770" t="s">
        <v>8321</v>
      </c>
      <c r="S770" s="14">
        <f t="shared" si="68"/>
        <v>41594.207060185188</v>
      </c>
      <c r="T770" s="14">
        <f t="shared" si="69"/>
        <v>41624.207060185188</v>
      </c>
      <c r="U770" s="64">
        <f t="shared" si="70"/>
        <v>30</v>
      </c>
      <c r="V770" s="13" t="str">
        <f t="shared" si="71"/>
        <v>underfunded</v>
      </c>
    </row>
    <row r="771" spans="1:22" ht="48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ROUND(E771/D771*100,0)</f>
        <v>41</v>
      </c>
      <c r="P771">
        <f t="shared" ref="P771:P834" si="73">IFERROR(ROUND(E771/L771,2), 0)</f>
        <v>31.85</v>
      </c>
      <c r="Q771" s="10" t="s">
        <v>8319</v>
      </c>
      <c r="R771" t="s">
        <v>8321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 s="64">
        <f t="shared" ref="U771:V834" si="76">T771-S771</f>
        <v>30</v>
      </c>
      <c r="V771" s="13" t="str">
        <f t="shared" ref="V771:V834" si="77">IF(E771&gt;=D771, "funded", "underfunded")</f>
        <v>underfunded</v>
      </c>
    </row>
    <row r="772" spans="1:22" ht="48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0" t="s">
        <v>8319</v>
      </c>
      <c r="R772" t="s">
        <v>8321</v>
      </c>
      <c r="S772" s="14">
        <f t="shared" si="74"/>
        <v>41289.999641203707</v>
      </c>
      <c r="T772" s="14">
        <f t="shared" si="75"/>
        <v>41329.999641203707</v>
      </c>
      <c r="U772" s="64">
        <f t="shared" si="76"/>
        <v>40</v>
      </c>
      <c r="V772" s="13" t="str">
        <f t="shared" si="77"/>
        <v>underfunded</v>
      </c>
    </row>
    <row r="773" spans="1:22" ht="48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0" t="s">
        <v>8319</v>
      </c>
      <c r="R773" t="s">
        <v>8321</v>
      </c>
      <c r="S773" s="14">
        <f t="shared" si="74"/>
        <v>42349.824097222227</v>
      </c>
      <c r="T773" s="14">
        <f t="shared" si="75"/>
        <v>42399.824097222227</v>
      </c>
      <c r="U773" s="64">
        <f t="shared" si="76"/>
        <v>50</v>
      </c>
      <c r="V773" s="13" t="str">
        <f t="shared" si="77"/>
        <v>underfunded</v>
      </c>
    </row>
    <row r="774" spans="1:22" ht="6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8319</v>
      </c>
      <c r="R774" t="s">
        <v>8321</v>
      </c>
      <c r="S774" s="14">
        <f t="shared" si="74"/>
        <v>40068.056932870371</v>
      </c>
      <c r="T774" s="14">
        <f t="shared" si="75"/>
        <v>40118.165972222225</v>
      </c>
      <c r="U774" s="64">
        <f t="shared" si="76"/>
        <v>50.109039351853426</v>
      </c>
      <c r="V774" s="13" t="str">
        <f t="shared" si="77"/>
        <v>underfunded</v>
      </c>
    </row>
    <row r="775" spans="1:22" ht="48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8319</v>
      </c>
      <c r="R775" t="s">
        <v>8321</v>
      </c>
      <c r="S775" s="14">
        <f t="shared" si="74"/>
        <v>42100.735937499994</v>
      </c>
      <c r="T775" s="14">
        <f t="shared" si="75"/>
        <v>42134.959027777775</v>
      </c>
      <c r="U775" s="64">
        <f t="shared" si="76"/>
        <v>34.223090277781012</v>
      </c>
      <c r="V775" s="13" t="str">
        <f t="shared" si="77"/>
        <v>underfunded</v>
      </c>
    </row>
    <row r="776" spans="1:22" ht="48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8319</v>
      </c>
      <c r="R776" t="s">
        <v>8321</v>
      </c>
      <c r="S776" s="14">
        <f t="shared" si="74"/>
        <v>41663.780300925922</v>
      </c>
      <c r="T776" s="14">
        <f t="shared" si="75"/>
        <v>41693.780300925922</v>
      </c>
      <c r="U776" s="64">
        <f t="shared" si="76"/>
        <v>30</v>
      </c>
      <c r="V776" s="13" t="str">
        <f t="shared" si="77"/>
        <v>underfunded</v>
      </c>
    </row>
    <row r="777" spans="1:22" ht="48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8319</v>
      </c>
      <c r="R777" t="s">
        <v>8321</v>
      </c>
      <c r="S777" s="14">
        <f t="shared" si="74"/>
        <v>40863.060127314813</v>
      </c>
      <c r="T777" s="14">
        <f t="shared" si="75"/>
        <v>40893.060127314813</v>
      </c>
      <c r="U777" s="64">
        <f t="shared" si="76"/>
        <v>30</v>
      </c>
      <c r="V777" s="13" t="str">
        <f t="shared" si="77"/>
        <v>underfunded</v>
      </c>
    </row>
    <row r="778" spans="1:22" ht="48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8319</v>
      </c>
      <c r="R778" t="s">
        <v>8321</v>
      </c>
      <c r="S778" s="14">
        <f t="shared" si="74"/>
        <v>42250.685706018514</v>
      </c>
      <c r="T778" s="14">
        <f t="shared" si="75"/>
        <v>42288.208333333328</v>
      </c>
      <c r="U778" s="64">
        <f t="shared" si="76"/>
        <v>37.522627314814599</v>
      </c>
      <c r="V778" s="13" t="str">
        <f t="shared" si="77"/>
        <v>underfunded</v>
      </c>
    </row>
    <row r="779" spans="1:22" ht="48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8319</v>
      </c>
      <c r="R779" t="s">
        <v>8321</v>
      </c>
      <c r="S779" s="14">
        <f t="shared" si="74"/>
        <v>41456.981215277774</v>
      </c>
      <c r="T779" s="14">
        <f t="shared" si="75"/>
        <v>41486.981215277774</v>
      </c>
      <c r="U779" s="64">
        <f t="shared" si="76"/>
        <v>30</v>
      </c>
      <c r="V779" s="13" t="str">
        <f t="shared" si="77"/>
        <v>underfunded</v>
      </c>
    </row>
    <row r="780" spans="1:22" ht="48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0" t="s">
        <v>8319</v>
      </c>
      <c r="R780" t="s">
        <v>8321</v>
      </c>
      <c r="S780" s="14">
        <f t="shared" si="74"/>
        <v>41729.702314814815</v>
      </c>
      <c r="T780" s="14">
        <f t="shared" si="75"/>
        <v>41759.702314814815</v>
      </c>
      <c r="U780" s="64">
        <f t="shared" si="76"/>
        <v>30</v>
      </c>
      <c r="V780" s="13" t="str">
        <f t="shared" si="77"/>
        <v>underfunded</v>
      </c>
    </row>
    <row r="781" spans="1:22" ht="48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8319</v>
      </c>
      <c r="R781" t="s">
        <v>8321</v>
      </c>
      <c r="S781" s="14">
        <f t="shared" si="74"/>
        <v>40436.68408564815</v>
      </c>
      <c r="T781" s="14">
        <f t="shared" si="75"/>
        <v>40466.166666666664</v>
      </c>
      <c r="U781" s="64">
        <f t="shared" si="76"/>
        <v>29.482581018513883</v>
      </c>
      <c r="V781" s="13" t="str">
        <f t="shared" si="77"/>
        <v>underfunded</v>
      </c>
    </row>
    <row r="782" spans="1:22" ht="3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8322</v>
      </c>
      <c r="R782" t="s">
        <v>8323</v>
      </c>
      <c r="S782" s="14">
        <f t="shared" si="74"/>
        <v>40636.673900462964</v>
      </c>
      <c r="T782" s="14">
        <f t="shared" si="75"/>
        <v>40666.673900462964</v>
      </c>
      <c r="U782" s="64">
        <f t="shared" si="76"/>
        <v>30</v>
      </c>
      <c r="V782" s="13" t="str">
        <f t="shared" si="77"/>
        <v>funded</v>
      </c>
    </row>
    <row r="783" spans="1:22" ht="48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8322</v>
      </c>
      <c r="R783" t="s">
        <v>8323</v>
      </c>
      <c r="S783" s="14">
        <f t="shared" si="74"/>
        <v>41403.000856481485</v>
      </c>
      <c r="T783" s="14">
        <f t="shared" si="75"/>
        <v>41433.000856481485</v>
      </c>
      <c r="U783" s="64">
        <f t="shared" si="76"/>
        <v>30</v>
      </c>
      <c r="V783" s="13" t="str">
        <f t="shared" si="77"/>
        <v>funded</v>
      </c>
    </row>
    <row r="784" spans="1:22" ht="48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8322</v>
      </c>
      <c r="R784" t="s">
        <v>8323</v>
      </c>
      <c r="S784" s="14">
        <f t="shared" si="74"/>
        <v>41116.758125</v>
      </c>
      <c r="T784" s="14">
        <f t="shared" si="75"/>
        <v>41146.758125</v>
      </c>
      <c r="U784" s="64">
        <f t="shared" si="76"/>
        <v>30</v>
      </c>
      <c r="V784" s="13" t="str">
        <f t="shared" si="77"/>
        <v>funded</v>
      </c>
    </row>
    <row r="785" spans="1:22" ht="48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8322</v>
      </c>
      <c r="R785" t="s">
        <v>8323</v>
      </c>
      <c r="S785" s="14">
        <f t="shared" si="74"/>
        <v>40987.773715277777</v>
      </c>
      <c r="T785" s="14">
        <f t="shared" si="75"/>
        <v>41026.916666666664</v>
      </c>
      <c r="U785" s="64">
        <f t="shared" si="76"/>
        <v>39.142951388887013</v>
      </c>
      <c r="V785" s="13" t="str">
        <f t="shared" si="77"/>
        <v>funded</v>
      </c>
    </row>
    <row r="786" spans="1:22" ht="48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8322</v>
      </c>
      <c r="R786" t="s">
        <v>8323</v>
      </c>
      <c r="S786" s="14">
        <f t="shared" si="74"/>
        <v>41675.149525462963</v>
      </c>
      <c r="T786" s="14">
        <f t="shared" si="75"/>
        <v>41715.107858796298</v>
      </c>
      <c r="U786" s="64">
        <f t="shared" si="76"/>
        <v>39.958333333335759</v>
      </c>
      <c r="V786" s="13" t="str">
        <f t="shared" si="77"/>
        <v>funded</v>
      </c>
    </row>
    <row r="787" spans="1:22" ht="48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8322</v>
      </c>
      <c r="R787" t="s">
        <v>8323</v>
      </c>
      <c r="S787" s="14">
        <f t="shared" si="74"/>
        <v>41303.593923611108</v>
      </c>
      <c r="T787" s="14">
        <f t="shared" si="75"/>
        <v>41333.593923611108</v>
      </c>
      <c r="U787" s="64">
        <f t="shared" si="76"/>
        <v>30</v>
      </c>
      <c r="V787" s="13" t="str">
        <f t="shared" si="77"/>
        <v>funded</v>
      </c>
    </row>
    <row r="788" spans="1:22" ht="48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8322</v>
      </c>
      <c r="R788" t="s">
        <v>8323</v>
      </c>
      <c r="S788" s="14">
        <f t="shared" si="74"/>
        <v>40983.055949074071</v>
      </c>
      <c r="T788" s="14">
        <f t="shared" si="75"/>
        <v>41040.657638888886</v>
      </c>
      <c r="U788" s="64">
        <f t="shared" si="76"/>
        <v>57.601689814815472</v>
      </c>
      <c r="V788" s="13" t="str">
        <f t="shared" si="77"/>
        <v>funded</v>
      </c>
    </row>
    <row r="789" spans="1:22" ht="48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8322</v>
      </c>
      <c r="R789" t="s">
        <v>8323</v>
      </c>
      <c r="S789" s="14">
        <f t="shared" si="74"/>
        <v>41549.627615740741</v>
      </c>
      <c r="T789" s="14">
        <f t="shared" si="75"/>
        <v>41579.627615740741</v>
      </c>
      <c r="U789" s="64">
        <f t="shared" si="76"/>
        <v>30</v>
      </c>
      <c r="V789" s="13" t="str">
        <f t="shared" si="77"/>
        <v>funded</v>
      </c>
    </row>
    <row r="790" spans="1:22" ht="48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8322</v>
      </c>
      <c r="R790" t="s">
        <v>8323</v>
      </c>
      <c r="S790" s="14">
        <f t="shared" si="74"/>
        <v>41059.006805555553</v>
      </c>
      <c r="T790" s="14">
        <f t="shared" si="75"/>
        <v>41097.165972222225</v>
      </c>
      <c r="U790" s="64">
        <f t="shared" si="76"/>
        <v>38.159166666671808</v>
      </c>
      <c r="V790" s="13" t="str">
        <f t="shared" si="77"/>
        <v>funded</v>
      </c>
    </row>
    <row r="791" spans="1:22" ht="48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8322</v>
      </c>
      <c r="R791" t="s">
        <v>8323</v>
      </c>
      <c r="S791" s="14">
        <f t="shared" si="74"/>
        <v>41277.186111111114</v>
      </c>
      <c r="T791" s="14">
        <f t="shared" si="75"/>
        <v>41295.332638888889</v>
      </c>
      <c r="U791" s="64">
        <f t="shared" si="76"/>
        <v>18.146527777775191</v>
      </c>
      <c r="V791" s="13" t="str">
        <f t="shared" si="77"/>
        <v>funded</v>
      </c>
    </row>
    <row r="792" spans="1:22" ht="48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8322</v>
      </c>
      <c r="R792" t="s">
        <v>8323</v>
      </c>
      <c r="S792" s="14">
        <f t="shared" si="74"/>
        <v>41276.047905092593</v>
      </c>
      <c r="T792" s="14">
        <f t="shared" si="75"/>
        <v>41306.047905092593</v>
      </c>
      <c r="U792" s="64">
        <f t="shared" si="76"/>
        <v>30</v>
      </c>
      <c r="V792" s="13" t="str">
        <f t="shared" si="77"/>
        <v>funded</v>
      </c>
    </row>
    <row r="793" spans="1:22" ht="48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8322</v>
      </c>
      <c r="R793" t="s">
        <v>8323</v>
      </c>
      <c r="S793" s="14">
        <f t="shared" si="74"/>
        <v>41557.780624999999</v>
      </c>
      <c r="T793" s="14">
        <f t="shared" si="75"/>
        <v>41591.249305555553</v>
      </c>
      <c r="U793" s="64">
        <f t="shared" si="76"/>
        <v>33.468680555553874</v>
      </c>
      <c r="V793" s="13" t="str">
        <f t="shared" si="77"/>
        <v>funded</v>
      </c>
    </row>
    <row r="794" spans="1:22" ht="3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8322</v>
      </c>
      <c r="R794" t="s">
        <v>8323</v>
      </c>
      <c r="S794" s="14">
        <f t="shared" si="74"/>
        <v>41555.873645833337</v>
      </c>
      <c r="T794" s="14">
        <f t="shared" si="75"/>
        <v>41585.915312500001</v>
      </c>
      <c r="U794" s="64">
        <f t="shared" si="76"/>
        <v>30.041666666664241</v>
      </c>
      <c r="V794" s="13" t="str">
        <f t="shared" si="77"/>
        <v>funded</v>
      </c>
    </row>
    <row r="795" spans="1:22" ht="48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8322</v>
      </c>
      <c r="R795" t="s">
        <v>8323</v>
      </c>
      <c r="S795" s="14">
        <f t="shared" si="74"/>
        <v>41442.741249999999</v>
      </c>
      <c r="T795" s="14">
        <f t="shared" si="75"/>
        <v>41458.207638888889</v>
      </c>
      <c r="U795" s="64">
        <f t="shared" si="76"/>
        <v>15.466388888889924</v>
      </c>
      <c r="V795" s="13" t="str">
        <f t="shared" si="77"/>
        <v>funded</v>
      </c>
    </row>
    <row r="796" spans="1:22" ht="48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8322</v>
      </c>
      <c r="R796" t="s">
        <v>8323</v>
      </c>
      <c r="S796" s="14">
        <f t="shared" si="74"/>
        <v>40736.115011574075</v>
      </c>
      <c r="T796" s="14">
        <f t="shared" si="75"/>
        <v>40791.712500000001</v>
      </c>
      <c r="U796" s="64">
        <f t="shared" si="76"/>
        <v>55.597488425926713</v>
      </c>
      <c r="V796" s="13" t="str">
        <f t="shared" si="77"/>
        <v>funded</v>
      </c>
    </row>
    <row r="797" spans="1:22" ht="48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8322</v>
      </c>
      <c r="R797" t="s">
        <v>8323</v>
      </c>
      <c r="S797" s="14">
        <f t="shared" si="74"/>
        <v>40963.613032407404</v>
      </c>
      <c r="T797" s="14">
        <f t="shared" si="75"/>
        <v>41006.207638888889</v>
      </c>
      <c r="U797" s="64">
        <f t="shared" si="76"/>
        <v>42.594606481485243</v>
      </c>
      <c r="V797" s="13" t="str">
        <f t="shared" si="77"/>
        <v>funded</v>
      </c>
    </row>
    <row r="798" spans="1:22" ht="6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8322</v>
      </c>
      <c r="R798" t="s">
        <v>8323</v>
      </c>
      <c r="S798" s="14">
        <f t="shared" si="74"/>
        <v>41502.882928240739</v>
      </c>
      <c r="T798" s="14">
        <f t="shared" si="75"/>
        <v>41532.881944444445</v>
      </c>
      <c r="U798" s="64">
        <f t="shared" si="76"/>
        <v>29.99901620370656</v>
      </c>
      <c r="V798" s="13" t="str">
        <f t="shared" si="77"/>
        <v>funded</v>
      </c>
    </row>
    <row r="799" spans="1:22" ht="48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8322</v>
      </c>
      <c r="R799" t="s">
        <v>8323</v>
      </c>
      <c r="S799" s="14">
        <f t="shared" si="74"/>
        <v>40996.994074074071</v>
      </c>
      <c r="T799" s="14">
        <f t="shared" si="75"/>
        <v>41028.166666666664</v>
      </c>
      <c r="U799" s="64">
        <f t="shared" si="76"/>
        <v>31.172592592592991</v>
      </c>
      <c r="V799" s="13" t="str">
        <f t="shared" si="77"/>
        <v>funded</v>
      </c>
    </row>
    <row r="800" spans="1:22" ht="48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8322</v>
      </c>
      <c r="R800" t="s">
        <v>8323</v>
      </c>
      <c r="S800" s="14">
        <f t="shared" si="74"/>
        <v>41882.590127314819</v>
      </c>
      <c r="T800" s="14">
        <f t="shared" si="75"/>
        <v>41912.590127314819</v>
      </c>
      <c r="U800" s="64">
        <f t="shared" si="76"/>
        <v>30</v>
      </c>
      <c r="V800" s="13" t="str">
        <f t="shared" si="77"/>
        <v>funded</v>
      </c>
    </row>
    <row r="801" spans="1:22" ht="48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8322</v>
      </c>
      <c r="R801" t="s">
        <v>8323</v>
      </c>
      <c r="S801" s="14">
        <f t="shared" si="74"/>
        <v>40996.667199074072</v>
      </c>
      <c r="T801" s="14">
        <f t="shared" si="75"/>
        <v>41026.667199074072</v>
      </c>
      <c r="U801" s="64">
        <f t="shared" si="76"/>
        <v>30</v>
      </c>
      <c r="V801" s="13" t="str">
        <f t="shared" si="77"/>
        <v>funded</v>
      </c>
    </row>
    <row r="802" spans="1:22" ht="48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8322</v>
      </c>
      <c r="R802" t="s">
        <v>8323</v>
      </c>
      <c r="S802" s="14">
        <f t="shared" si="74"/>
        <v>41863.433495370373</v>
      </c>
      <c r="T802" s="14">
        <f t="shared" si="75"/>
        <v>41893.433495370373</v>
      </c>
      <c r="U802" s="64">
        <f t="shared" si="76"/>
        <v>30</v>
      </c>
      <c r="V802" s="13" t="str">
        <f t="shared" si="77"/>
        <v>funded</v>
      </c>
    </row>
    <row r="803" spans="1:22" ht="48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8322</v>
      </c>
      <c r="R803" t="s">
        <v>8323</v>
      </c>
      <c r="S803" s="14">
        <f t="shared" si="74"/>
        <v>40695.795370370368</v>
      </c>
      <c r="T803" s="14">
        <f t="shared" si="75"/>
        <v>40725.795370370368</v>
      </c>
      <c r="U803" s="64">
        <f t="shared" si="76"/>
        <v>30</v>
      </c>
      <c r="V803" s="13" t="str">
        <f t="shared" si="77"/>
        <v>funded</v>
      </c>
    </row>
    <row r="804" spans="1:22" ht="48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8322</v>
      </c>
      <c r="R804" t="s">
        <v>8323</v>
      </c>
      <c r="S804" s="14">
        <f t="shared" si="74"/>
        <v>41123.022268518522</v>
      </c>
      <c r="T804" s="14">
        <f t="shared" si="75"/>
        <v>41169.170138888891</v>
      </c>
      <c r="U804" s="64">
        <f t="shared" si="76"/>
        <v>46.147870370368764</v>
      </c>
      <c r="V804" s="13" t="str">
        <f t="shared" si="77"/>
        <v>funded</v>
      </c>
    </row>
    <row r="805" spans="1:22" ht="48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8322</v>
      </c>
      <c r="R805" t="s">
        <v>8323</v>
      </c>
      <c r="S805" s="14">
        <f t="shared" si="74"/>
        <v>40665.949976851851</v>
      </c>
      <c r="T805" s="14">
        <f t="shared" si="75"/>
        <v>40692.041666666664</v>
      </c>
      <c r="U805" s="64">
        <f t="shared" si="76"/>
        <v>26.091689814813435</v>
      </c>
      <c r="V805" s="13" t="str">
        <f t="shared" si="77"/>
        <v>funded</v>
      </c>
    </row>
    <row r="806" spans="1:22" ht="48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8322</v>
      </c>
      <c r="R806" t="s">
        <v>8323</v>
      </c>
      <c r="S806" s="14">
        <f t="shared" si="74"/>
        <v>40730.105625000004</v>
      </c>
      <c r="T806" s="14">
        <f t="shared" si="75"/>
        <v>40747.165972222225</v>
      </c>
      <c r="U806" s="64">
        <f t="shared" si="76"/>
        <v>17.060347222221026</v>
      </c>
      <c r="V806" s="13" t="str">
        <f t="shared" si="77"/>
        <v>funded</v>
      </c>
    </row>
    <row r="807" spans="1:22" ht="48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8322</v>
      </c>
      <c r="R807" t="s">
        <v>8323</v>
      </c>
      <c r="S807" s="14">
        <f t="shared" si="74"/>
        <v>40690.823055555556</v>
      </c>
      <c r="T807" s="14">
        <f t="shared" si="75"/>
        <v>40740.958333333336</v>
      </c>
      <c r="U807" s="64">
        <f t="shared" si="76"/>
        <v>50.135277777779265</v>
      </c>
      <c r="V807" s="13" t="str">
        <f t="shared" si="77"/>
        <v>funded</v>
      </c>
    </row>
    <row r="808" spans="1:22" ht="16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8322</v>
      </c>
      <c r="R808" t="s">
        <v>8323</v>
      </c>
      <c r="S808" s="14">
        <f t="shared" si="74"/>
        <v>40763.691423611112</v>
      </c>
      <c r="T808" s="14">
        <f t="shared" si="75"/>
        <v>40793.691423611112</v>
      </c>
      <c r="U808" s="64">
        <f t="shared" si="76"/>
        <v>30</v>
      </c>
      <c r="V808" s="13" t="str">
        <f t="shared" si="77"/>
        <v>funded</v>
      </c>
    </row>
    <row r="809" spans="1:22" ht="3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8322</v>
      </c>
      <c r="R809" t="s">
        <v>8323</v>
      </c>
      <c r="S809" s="14">
        <f t="shared" si="74"/>
        <v>42759.628599537042</v>
      </c>
      <c r="T809" s="14">
        <f t="shared" si="75"/>
        <v>42795.083333333328</v>
      </c>
      <c r="U809" s="64">
        <f t="shared" si="76"/>
        <v>35.454733796286746</v>
      </c>
      <c r="V809" s="13" t="str">
        <f t="shared" si="77"/>
        <v>funded</v>
      </c>
    </row>
    <row r="810" spans="1:22" ht="48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8322</v>
      </c>
      <c r="R810" t="s">
        <v>8323</v>
      </c>
      <c r="S810" s="14">
        <f t="shared" si="74"/>
        <v>41962.100532407407</v>
      </c>
      <c r="T810" s="14">
        <f t="shared" si="75"/>
        <v>41995.207638888889</v>
      </c>
      <c r="U810" s="64">
        <f t="shared" si="76"/>
        <v>33.107106481482333</v>
      </c>
      <c r="V810" s="13" t="str">
        <f t="shared" si="77"/>
        <v>funded</v>
      </c>
    </row>
    <row r="811" spans="1:22" ht="3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8322</v>
      </c>
      <c r="R811" t="s">
        <v>8323</v>
      </c>
      <c r="S811" s="14">
        <f t="shared" si="74"/>
        <v>41628.833680555559</v>
      </c>
      <c r="T811" s="14">
        <f t="shared" si="75"/>
        <v>41658.833680555559</v>
      </c>
      <c r="U811" s="64">
        <f t="shared" si="76"/>
        <v>30</v>
      </c>
      <c r="V811" s="13" t="str">
        <f t="shared" si="77"/>
        <v>funded</v>
      </c>
    </row>
    <row r="812" spans="1:22" ht="48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8322</v>
      </c>
      <c r="R812" t="s">
        <v>8323</v>
      </c>
      <c r="S812" s="14">
        <f t="shared" si="74"/>
        <v>41123.056273148148</v>
      </c>
      <c r="T812" s="14">
        <f t="shared" si="75"/>
        <v>41153.056273148148</v>
      </c>
      <c r="U812" s="64">
        <f t="shared" si="76"/>
        <v>30</v>
      </c>
      <c r="V812" s="13" t="str">
        <f t="shared" si="77"/>
        <v>funded</v>
      </c>
    </row>
    <row r="813" spans="1:22" ht="3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8322</v>
      </c>
      <c r="R813" t="s">
        <v>8323</v>
      </c>
      <c r="S813" s="14">
        <f t="shared" si="74"/>
        <v>41443.643541666665</v>
      </c>
      <c r="T813" s="14">
        <f t="shared" si="75"/>
        <v>41465.702777777777</v>
      </c>
      <c r="U813" s="64">
        <f t="shared" si="76"/>
        <v>22.059236111112114</v>
      </c>
      <c r="V813" s="13" t="str">
        <f t="shared" si="77"/>
        <v>funded</v>
      </c>
    </row>
    <row r="814" spans="1:22" ht="48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8322</v>
      </c>
      <c r="R814" t="s">
        <v>8323</v>
      </c>
      <c r="S814" s="14">
        <f t="shared" si="74"/>
        <v>41282.017962962964</v>
      </c>
      <c r="T814" s="14">
        <f t="shared" si="75"/>
        <v>41334.581944444442</v>
      </c>
      <c r="U814" s="64">
        <f t="shared" si="76"/>
        <v>52.56398148147855</v>
      </c>
      <c r="V814" s="13" t="str">
        <f t="shared" si="77"/>
        <v>funded</v>
      </c>
    </row>
    <row r="815" spans="1:22" ht="3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8322</v>
      </c>
      <c r="R815" t="s">
        <v>8323</v>
      </c>
      <c r="S815" s="14">
        <f t="shared" si="74"/>
        <v>41080.960243055553</v>
      </c>
      <c r="T815" s="14">
        <f t="shared" si="75"/>
        <v>41110.960243055553</v>
      </c>
      <c r="U815" s="64">
        <f t="shared" si="76"/>
        <v>30</v>
      </c>
      <c r="V815" s="13" t="str">
        <f t="shared" si="77"/>
        <v>funded</v>
      </c>
    </row>
    <row r="816" spans="1:22" ht="48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8322</v>
      </c>
      <c r="R816" t="s">
        <v>8323</v>
      </c>
      <c r="S816" s="14">
        <f t="shared" si="74"/>
        <v>40679.743067129632</v>
      </c>
      <c r="T816" s="14">
        <f t="shared" si="75"/>
        <v>40694.75277777778</v>
      </c>
      <c r="U816" s="64">
        <f t="shared" si="76"/>
        <v>15.00971064814803</v>
      </c>
      <c r="V816" s="13" t="str">
        <f t="shared" si="77"/>
        <v>funded</v>
      </c>
    </row>
    <row r="817" spans="1:22" ht="3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8322</v>
      </c>
      <c r="R817" t="s">
        <v>8323</v>
      </c>
      <c r="S817" s="14">
        <f t="shared" si="74"/>
        <v>41914.917858796296</v>
      </c>
      <c r="T817" s="14">
        <f t="shared" si="75"/>
        <v>41944.917858796296</v>
      </c>
      <c r="U817" s="64">
        <f t="shared" si="76"/>
        <v>30</v>
      </c>
      <c r="V817" s="13" t="str">
        <f t="shared" si="77"/>
        <v>funded</v>
      </c>
    </row>
    <row r="818" spans="1:22" ht="3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8322</v>
      </c>
      <c r="R818" t="s">
        <v>8323</v>
      </c>
      <c r="S818" s="14">
        <f t="shared" si="74"/>
        <v>41341.870868055557</v>
      </c>
      <c r="T818" s="14">
        <f t="shared" si="75"/>
        <v>41373.270833333336</v>
      </c>
      <c r="U818" s="64">
        <f t="shared" si="76"/>
        <v>31.399965277778392</v>
      </c>
      <c r="V818" s="13" t="str">
        <f t="shared" si="77"/>
        <v>funded</v>
      </c>
    </row>
    <row r="819" spans="1:22" ht="48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8322</v>
      </c>
      <c r="R819" t="s">
        <v>8323</v>
      </c>
      <c r="S819" s="14">
        <f t="shared" si="74"/>
        <v>40925.599664351852</v>
      </c>
      <c r="T819" s="14">
        <f t="shared" si="75"/>
        <v>40979.207638888889</v>
      </c>
      <c r="U819" s="64">
        <f t="shared" si="76"/>
        <v>53.60797453703708</v>
      </c>
      <c r="V819" s="13" t="str">
        <f t="shared" si="77"/>
        <v>funded</v>
      </c>
    </row>
    <row r="820" spans="1:22" ht="48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8322</v>
      </c>
      <c r="R820" t="s">
        <v>8323</v>
      </c>
      <c r="S820" s="14">
        <f t="shared" si="74"/>
        <v>41120.882881944446</v>
      </c>
      <c r="T820" s="14">
        <f t="shared" si="75"/>
        <v>41128.709027777775</v>
      </c>
      <c r="U820" s="64">
        <f t="shared" si="76"/>
        <v>7.8261458333290648</v>
      </c>
      <c r="V820" s="13" t="str">
        <f t="shared" si="77"/>
        <v>funded</v>
      </c>
    </row>
    <row r="821" spans="1:22" ht="3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8322</v>
      </c>
      <c r="R821" t="s">
        <v>8323</v>
      </c>
      <c r="S821" s="14">
        <f t="shared" si="74"/>
        <v>41619.998310185183</v>
      </c>
      <c r="T821" s="14">
        <f t="shared" si="75"/>
        <v>41629.197222222225</v>
      </c>
      <c r="U821" s="64">
        <f t="shared" si="76"/>
        <v>9.1989120370417368</v>
      </c>
      <c r="V821" s="13" t="str">
        <f t="shared" si="77"/>
        <v>funded</v>
      </c>
    </row>
    <row r="822" spans="1:22" ht="48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8322</v>
      </c>
      <c r="R822" t="s">
        <v>8323</v>
      </c>
      <c r="S822" s="14">
        <f t="shared" si="74"/>
        <v>41768.841921296298</v>
      </c>
      <c r="T822" s="14">
        <f t="shared" si="75"/>
        <v>41799.208333333336</v>
      </c>
      <c r="U822" s="64">
        <f t="shared" si="76"/>
        <v>30.366412037037662</v>
      </c>
      <c r="V822" s="13" t="str">
        <f t="shared" si="77"/>
        <v>funded</v>
      </c>
    </row>
    <row r="823" spans="1:22" ht="48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8322</v>
      </c>
      <c r="R823" t="s">
        <v>8323</v>
      </c>
      <c r="S823" s="14">
        <f t="shared" si="74"/>
        <v>42093.922048611115</v>
      </c>
      <c r="T823" s="14">
        <f t="shared" si="75"/>
        <v>42128.167361111111</v>
      </c>
      <c r="U823" s="64">
        <f t="shared" si="76"/>
        <v>34.245312499995634</v>
      </c>
      <c r="V823" s="13" t="str">
        <f t="shared" si="77"/>
        <v>funded</v>
      </c>
    </row>
    <row r="824" spans="1:22" ht="3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8322</v>
      </c>
      <c r="R824" t="s">
        <v>8323</v>
      </c>
      <c r="S824" s="14">
        <f t="shared" si="74"/>
        <v>41157.947337962964</v>
      </c>
      <c r="T824" s="14">
        <f t="shared" si="75"/>
        <v>41187.947337962964</v>
      </c>
      <c r="U824" s="64">
        <f t="shared" si="76"/>
        <v>30</v>
      </c>
      <c r="V824" s="13" t="str">
        <f t="shared" si="77"/>
        <v>funded</v>
      </c>
    </row>
    <row r="825" spans="1:22" ht="48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8322</v>
      </c>
      <c r="R825" t="s">
        <v>8323</v>
      </c>
      <c r="S825" s="14">
        <f t="shared" si="74"/>
        <v>42055.972824074073</v>
      </c>
      <c r="T825" s="14">
        <f t="shared" si="75"/>
        <v>42085.931157407409</v>
      </c>
      <c r="U825" s="64">
        <f t="shared" si="76"/>
        <v>29.958333333335759</v>
      </c>
      <c r="V825" s="13" t="str">
        <f t="shared" si="77"/>
        <v>funded</v>
      </c>
    </row>
    <row r="826" spans="1:22" ht="48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8322</v>
      </c>
      <c r="R826" t="s">
        <v>8323</v>
      </c>
      <c r="S826" s="14">
        <f t="shared" si="74"/>
        <v>40250.242106481484</v>
      </c>
      <c r="T826" s="14">
        <f t="shared" si="75"/>
        <v>40286.290972222225</v>
      </c>
      <c r="U826" s="64">
        <f t="shared" si="76"/>
        <v>36.048865740740439</v>
      </c>
      <c r="V826" s="13" t="str">
        <f t="shared" si="77"/>
        <v>funded</v>
      </c>
    </row>
    <row r="827" spans="1:22" ht="3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8322</v>
      </c>
      <c r="R827" t="s">
        <v>8323</v>
      </c>
      <c r="S827" s="14">
        <f t="shared" si="74"/>
        <v>41186.306527777779</v>
      </c>
      <c r="T827" s="14">
        <f t="shared" si="75"/>
        <v>41211.306527777779</v>
      </c>
      <c r="U827" s="64">
        <f t="shared" si="76"/>
        <v>25</v>
      </c>
      <c r="V827" s="13" t="str">
        <f t="shared" si="77"/>
        <v>funded</v>
      </c>
    </row>
    <row r="828" spans="1:22" ht="48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8322</v>
      </c>
      <c r="R828" t="s">
        <v>8323</v>
      </c>
      <c r="S828" s="14">
        <f t="shared" si="74"/>
        <v>40973.038541666669</v>
      </c>
      <c r="T828" s="14">
        <f t="shared" si="75"/>
        <v>40993.996874999997</v>
      </c>
      <c r="U828" s="64">
        <f t="shared" si="76"/>
        <v>20.958333333328483</v>
      </c>
      <c r="V828" s="13" t="str">
        <f t="shared" si="77"/>
        <v>funded</v>
      </c>
    </row>
    <row r="829" spans="1:22" ht="48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8322</v>
      </c>
      <c r="R829" t="s">
        <v>8323</v>
      </c>
      <c r="S829" s="14">
        <f t="shared" si="74"/>
        <v>40927.473460648151</v>
      </c>
      <c r="T829" s="14">
        <f t="shared" si="75"/>
        <v>40953.825694444444</v>
      </c>
      <c r="U829" s="64">
        <f t="shared" si="76"/>
        <v>26.352233796293149</v>
      </c>
      <c r="V829" s="13" t="str">
        <f t="shared" si="77"/>
        <v>funded</v>
      </c>
    </row>
    <row r="830" spans="1:22" ht="48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8322</v>
      </c>
      <c r="R830" t="s">
        <v>8323</v>
      </c>
      <c r="S830" s="14">
        <f t="shared" si="74"/>
        <v>41073.050717592596</v>
      </c>
      <c r="T830" s="14">
        <f t="shared" si="75"/>
        <v>41085.683333333334</v>
      </c>
      <c r="U830" s="64">
        <f t="shared" si="76"/>
        <v>12.632615740738402</v>
      </c>
      <c r="V830" s="13" t="str">
        <f t="shared" si="77"/>
        <v>funded</v>
      </c>
    </row>
    <row r="831" spans="1:22" ht="48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8322</v>
      </c>
      <c r="R831" t="s">
        <v>8323</v>
      </c>
      <c r="S831" s="14">
        <f t="shared" si="74"/>
        <v>42504.801388888889</v>
      </c>
      <c r="T831" s="14">
        <f t="shared" si="75"/>
        <v>42564.801388888889</v>
      </c>
      <c r="U831" s="64">
        <f t="shared" si="76"/>
        <v>60</v>
      </c>
      <c r="V831" s="13" t="str">
        <f t="shared" si="77"/>
        <v>funded</v>
      </c>
    </row>
    <row r="832" spans="1:22" ht="48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8322</v>
      </c>
      <c r="R832" t="s">
        <v>8323</v>
      </c>
      <c r="S832" s="14">
        <f t="shared" si="74"/>
        <v>41325.525752314818</v>
      </c>
      <c r="T832" s="14">
        <f t="shared" si="75"/>
        <v>41355.484085648146</v>
      </c>
      <c r="U832" s="64">
        <f t="shared" si="76"/>
        <v>29.958333333328483</v>
      </c>
      <c r="V832" s="13" t="str">
        <f t="shared" si="77"/>
        <v>funded</v>
      </c>
    </row>
    <row r="833" spans="1:22" ht="3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8322</v>
      </c>
      <c r="R833" t="s">
        <v>8323</v>
      </c>
      <c r="S833" s="14">
        <f t="shared" si="74"/>
        <v>40996.646921296298</v>
      </c>
      <c r="T833" s="14">
        <f t="shared" si="75"/>
        <v>41026.646921296298</v>
      </c>
      <c r="U833" s="64">
        <f t="shared" si="76"/>
        <v>30</v>
      </c>
      <c r="V833" s="13" t="str">
        <f t="shared" si="77"/>
        <v>funded</v>
      </c>
    </row>
    <row r="834" spans="1:22" ht="48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>
        <f t="shared" si="73"/>
        <v>97.99</v>
      </c>
      <c r="Q834" s="10" t="s">
        <v>8322</v>
      </c>
      <c r="R834" t="s">
        <v>8323</v>
      </c>
      <c r="S834" s="14">
        <f t="shared" si="74"/>
        <v>40869.675173611111</v>
      </c>
      <c r="T834" s="14">
        <f t="shared" si="75"/>
        <v>40929.342361111114</v>
      </c>
      <c r="U834" s="64">
        <f t="shared" si="76"/>
        <v>59.66718750000291</v>
      </c>
      <c r="V834" s="13" t="str">
        <f t="shared" si="77"/>
        <v>funded</v>
      </c>
    </row>
    <row r="835" spans="1:22" ht="16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ROUND(E835/D835*100,0)</f>
        <v>102</v>
      </c>
      <c r="P835">
        <f t="shared" ref="P835:P898" si="79">IFERROR(ROUND(E835/L835,2), 0)</f>
        <v>148.78</v>
      </c>
      <c r="Q835" s="10" t="s">
        <v>8322</v>
      </c>
      <c r="R835" t="s">
        <v>8323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 s="64">
        <f t="shared" ref="U835:V898" si="82">T835-S835</f>
        <v>30</v>
      </c>
      <c r="V835" s="13" t="str">
        <f t="shared" ref="V835:V898" si="83">IF(E835&gt;=D835, "funded", "underfunded")</f>
        <v>funded</v>
      </c>
    </row>
    <row r="836" spans="1:22" ht="48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8322</v>
      </c>
      <c r="R836" t="s">
        <v>8323</v>
      </c>
      <c r="S836" s="14">
        <f t="shared" si="80"/>
        <v>41422.822824074072</v>
      </c>
      <c r="T836" s="14">
        <f t="shared" si="81"/>
        <v>41456.165972222225</v>
      </c>
      <c r="U836" s="64">
        <f t="shared" si="82"/>
        <v>33.343148148152977</v>
      </c>
      <c r="V836" s="13" t="str">
        <f t="shared" si="83"/>
        <v>funded</v>
      </c>
    </row>
    <row r="837" spans="1:22" ht="48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8322</v>
      </c>
      <c r="R837" t="s">
        <v>8323</v>
      </c>
      <c r="S837" s="14">
        <f t="shared" si="80"/>
        <v>41005.45784722222</v>
      </c>
      <c r="T837" s="14">
        <f t="shared" si="81"/>
        <v>41048.125</v>
      </c>
      <c r="U837" s="64">
        <f t="shared" si="82"/>
        <v>42.667152777779847</v>
      </c>
      <c r="V837" s="13" t="str">
        <f t="shared" si="83"/>
        <v>funded</v>
      </c>
    </row>
    <row r="838" spans="1:22" ht="16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8322</v>
      </c>
      <c r="R838" t="s">
        <v>8323</v>
      </c>
      <c r="S838" s="14">
        <f t="shared" si="80"/>
        <v>41524.056921296295</v>
      </c>
      <c r="T838" s="14">
        <f t="shared" si="81"/>
        <v>41554.056921296295</v>
      </c>
      <c r="U838" s="64">
        <f t="shared" si="82"/>
        <v>30</v>
      </c>
      <c r="V838" s="13" t="str">
        <f t="shared" si="83"/>
        <v>funded</v>
      </c>
    </row>
    <row r="839" spans="1:22" ht="3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8322</v>
      </c>
      <c r="R839" t="s">
        <v>8323</v>
      </c>
      <c r="S839" s="14">
        <f t="shared" si="80"/>
        <v>41730.998402777775</v>
      </c>
      <c r="T839" s="14">
        <f t="shared" si="81"/>
        <v>41760.998402777775</v>
      </c>
      <c r="U839" s="64">
        <f t="shared" si="82"/>
        <v>30</v>
      </c>
      <c r="V839" s="13" t="str">
        <f t="shared" si="83"/>
        <v>funded</v>
      </c>
    </row>
    <row r="840" spans="1:22" ht="48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8322</v>
      </c>
      <c r="R840" t="s">
        <v>8323</v>
      </c>
      <c r="S840" s="14">
        <f t="shared" si="80"/>
        <v>40895.897974537038</v>
      </c>
      <c r="T840" s="14">
        <f t="shared" si="81"/>
        <v>40925.897974537038</v>
      </c>
      <c r="U840" s="64">
        <f t="shared" si="82"/>
        <v>30</v>
      </c>
      <c r="V840" s="13" t="str">
        <f t="shared" si="83"/>
        <v>funded</v>
      </c>
    </row>
    <row r="841" spans="1:22" ht="48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8322</v>
      </c>
      <c r="R841" t="s">
        <v>8323</v>
      </c>
      <c r="S841" s="14">
        <f t="shared" si="80"/>
        <v>41144.763379629629</v>
      </c>
      <c r="T841" s="14">
        <f t="shared" si="81"/>
        <v>41174.763379629629</v>
      </c>
      <c r="U841" s="64">
        <f t="shared" si="82"/>
        <v>30</v>
      </c>
      <c r="V841" s="13" t="str">
        <f t="shared" si="83"/>
        <v>funded</v>
      </c>
    </row>
    <row r="842" spans="1:22" ht="3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8322</v>
      </c>
      <c r="R842" t="s">
        <v>8324</v>
      </c>
      <c r="S842" s="14">
        <f t="shared" si="80"/>
        <v>42607.226701388892</v>
      </c>
      <c r="T842" s="14">
        <f t="shared" si="81"/>
        <v>42637.226701388892</v>
      </c>
      <c r="U842" s="64">
        <f t="shared" si="82"/>
        <v>30</v>
      </c>
      <c r="V842" s="13" t="str">
        <f t="shared" si="83"/>
        <v>funded</v>
      </c>
    </row>
    <row r="843" spans="1:22" ht="48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8322</v>
      </c>
      <c r="R843" t="s">
        <v>8324</v>
      </c>
      <c r="S843" s="14">
        <f t="shared" si="80"/>
        <v>41923.838692129626</v>
      </c>
      <c r="T843" s="14">
        <f t="shared" si="81"/>
        <v>41953.88035879629</v>
      </c>
      <c r="U843" s="64">
        <f t="shared" si="82"/>
        <v>30.041666666664241</v>
      </c>
      <c r="V843" s="13" t="str">
        <f t="shared" si="83"/>
        <v>funded</v>
      </c>
    </row>
    <row r="844" spans="1:22" ht="48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8322</v>
      </c>
      <c r="R844" t="s">
        <v>8324</v>
      </c>
      <c r="S844" s="14">
        <f t="shared" si="80"/>
        <v>41526.592395833337</v>
      </c>
      <c r="T844" s="14">
        <f t="shared" si="81"/>
        <v>41561.165972222225</v>
      </c>
      <c r="U844" s="64">
        <f t="shared" si="82"/>
        <v>34.573576388887886</v>
      </c>
      <c r="V844" s="13" t="str">
        <f t="shared" si="83"/>
        <v>funded</v>
      </c>
    </row>
    <row r="845" spans="1:22" ht="48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8322</v>
      </c>
      <c r="R845" t="s">
        <v>8324</v>
      </c>
      <c r="S845" s="14">
        <f t="shared" si="80"/>
        <v>42695.257870370369</v>
      </c>
      <c r="T845" s="14">
        <f t="shared" si="81"/>
        <v>42712.333333333328</v>
      </c>
      <c r="U845" s="64">
        <f t="shared" si="82"/>
        <v>17.075462962959136</v>
      </c>
      <c r="V845" s="13" t="str">
        <f t="shared" si="83"/>
        <v>funded</v>
      </c>
    </row>
    <row r="846" spans="1:22" ht="48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8322</v>
      </c>
      <c r="R846" t="s">
        <v>8324</v>
      </c>
      <c r="S846" s="14">
        <f t="shared" si="80"/>
        <v>41905.684629629628</v>
      </c>
      <c r="T846" s="14">
        <f t="shared" si="81"/>
        <v>41944.207638888889</v>
      </c>
      <c r="U846" s="64">
        <f t="shared" si="82"/>
        <v>38.523009259261016</v>
      </c>
      <c r="V846" s="13" t="str">
        <f t="shared" si="83"/>
        <v>funded</v>
      </c>
    </row>
    <row r="847" spans="1:22" ht="48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8322</v>
      </c>
      <c r="R847" t="s">
        <v>8324</v>
      </c>
      <c r="S847" s="14">
        <f t="shared" si="80"/>
        <v>42578.205972222218</v>
      </c>
      <c r="T847" s="14">
        <f t="shared" si="81"/>
        <v>42618.165972222225</v>
      </c>
      <c r="U847" s="64">
        <f t="shared" si="82"/>
        <v>39.960000000006403</v>
      </c>
      <c r="V847" s="13" t="str">
        <f t="shared" si="83"/>
        <v>funded</v>
      </c>
    </row>
    <row r="848" spans="1:22" ht="3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8322</v>
      </c>
      <c r="R848" t="s">
        <v>8324</v>
      </c>
      <c r="S848" s="14">
        <f t="shared" si="80"/>
        <v>41694.391840277778</v>
      </c>
      <c r="T848" s="14">
        <f t="shared" si="81"/>
        <v>41708.583333333336</v>
      </c>
      <c r="U848" s="64">
        <f t="shared" si="82"/>
        <v>14.191493055557657</v>
      </c>
      <c r="V848" s="13" t="str">
        <f t="shared" si="83"/>
        <v>funded</v>
      </c>
    </row>
    <row r="849" spans="1:22" ht="16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8322</v>
      </c>
      <c r="R849" t="s">
        <v>8324</v>
      </c>
      <c r="S849" s="14">
        <f t="shared" si="80"/>
        <v>42165.79833333334</v>
      </c>
      <c r="T849" s="14">
        <f t="shared" si="81"/>
        <v>42195.79833333334</v>
      </c>
      <c r="U849" s="64">
        <f t="shared" si="82"/>
        <v>30</v>
      </c>
      <c r="V849" s="13" t="str">
        <f t="shared" si="83"/>
        <v>funded</v>
      </c>
    </row>
    <row r="850" spans="1:22" ht="48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8322</v>
      </c>
      <c r="R850" t="s">
        <v>8324</v>
      </c>
      <c r="S850" s="14">
        <f t="shared" si="80"/>
        <v>42078.792048611111</v>
      </c>
      <c r="T850" s="14">
        <f t="shared" si="81"/>
        <v>42108.792048611111</v>
      </c>
      <c r="U850" s="64">
        <f t="shared" si="82"/>
        <v>30</v>
      </c>
      <c r="V850" s="13" t="str">
        <f t="shared" si="83"/>
        <v>funded</v>
      </c>
    </row>
    <row r="851" spans="1:22" ht="6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8322</v>
      </c>
      <c r="R851" t="s">
        <v>8324</v>
      </c>
      <c r="S851" s="14">
        <f t="shared" si="80"/>
        <v>42051.148888888885</v>
      </c>
      <c r="T851" s="14">
        <f t="shared" si="81"/>
        <v>42079.107222222221</v>
      </c>
      <c r="U851" s="64">
        <f t="shared" si="82"/>
        <v>27.958333333335759</v>
      </c>
      <c r="V851" s="13" t="str">
        <f t="shared" si="83"/>
        <v>funded</v>
      </c>
    </row>
    <row r="852" spans="1:22" ht="48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8322</v>
      </c>
      <c r="R852" t="s">
        <v>8324</v>
      </c>
      <c r="S852" s="14">
        <f t="shared" si="80"/>
        <v>42452.827743055561</v>
      </c>
      <c r="T852" s="14">
        <f t="shared" si="81"/>
        <v>42485.207638888889</v>
      </c>
      <c r="U852" s="64">
        <f t="shared" si="82"/>
        <v>32.379895833328192</v>
      </c>
      <c r="V852" s="13" t="str">
        <f t="shared" si="83"/>
        <v>funded</v>
      </c>
    </row>
    <row r="853" spans="1:22" ht="3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8322</v>
      </c>
      <c r="R853" t="s">
        <v>8324</v>
      </c>
      <c r="S853" s="14">
        <f t="shared" si="80"/>
        <v>42522.880243055552</v>
      </c>
      <c r="T853" s="14">
        <f t="shared" si="81"/>
        <v>42582.822916666672</v>
      </c>
      <c r="U853" s="64">
        <f t="shared" si="82"/>
        <v>59.942673611119972</v>
      </c>
      <c r="V853" s="13" t="str">
        <f t="shared" si="83"/>
        <v>funded</v>
      </c>
    </row>
    <row r="854" spans="1:22" ht="3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8322</v>
      </c>
      <c r="R854" t="s">
        <v>8324</v>
      </c>
      <c r="S854" s="14">
        <f t="shared" si="80"/>
        <v>42656.805497685185</v>
      </c>
      <c r="T854" s="14">
        <f t="shared" si="81"/>
        <v>42667.875</v>
      </c>
      <c r="U854" s="64">
        <f t="shared" si="82"/>
        <v>11.069502314814599</v>
      </c>
      <c r="V854" s="13" t="str">
        <f t="shared" si="83"/>
        <v>funded</v>
      </c>
    </row>
    <row r="855" spans="1:22" ht="48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8322</v>
      </c>
      <c r="R855" t="s">
        <v>8324</v>
      </c>
      <c r="S855" s="14">
        <f t="shared" si="80"/>
        <v>42021.832280092596</v>
      </c>
      <c r="T855" s="14">
        <f t="shared" si="81"/>
        <v>42051.832280092596</v>
      </c>
      <c r="U855" s="64">
        <f t="shared" si="82"/>
        <v>30</v>
      </c>
      <c r="V855" s="13" t="str">
        <f t="shared" si="83"/>
        <v>funded</v>
      </c>
    </row>
    <row r="856" spans="1:22" ht="48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8322</v>
      </c>
      <c r="R856" t="s">
        <v>8324</v>
      </c>
      <c r="S856" s="14">
        <f t="shared" si="80"/>
        <v>42702.212337962963</v>
      </c>
      <c r="T856" s="14">
        <f t="shared" si="81"/>
        <v>42732.212337962963</v>
      </c>
      <c r="U856" s="64">
        <f t="shared" si="82"/>
        <v>30</v>
      </c>
      <c r="V856" s="13" t="str">
        <f t="shared" si="83"/>
        <v>funded</v>
      </c>
    </row>
    <row r="857" spans="1:22" ht="3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8322</v>
      </c>
      <c r="R857" t="s">
        <v>8324</v>
      </c>
      <c r="S857" s="14">
        <f t="shared" si="80"/>
        <v>42545.125196759262</v>
      </c>
      <c r="T857" s="14">
        <f t="shared" si="81"/>
        <v>42575.125196759262</v>
      </c>
      <c r="U857" s="64">
        <f t="shared" si="82"/>
        <v>30</v>
      </c>
      <c r="V857" s="13" t="str">
        <f t="shared" si="83"/>
        <v>funded</v>
      </c>
    </row>
    <row r="858" spans="1:22" ht="48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8322</v>
      </c>
      <c r="R858" t="s">
        <v>8324</v>
      </c>
      <c r="S858" s="14">
        <f t="shared" si="80"/>
        <v>42609.311990740738</v>
      </c>
      <c r="T858" s="14">
        <f t="shared" si="81"/>
        <v>42668.791666666672</v>
      </c>
      <c r="U858" s="64">
        <f t="shared" si="82"/>
        <v>59.479675925933407</v>
      </c>
      <c r="V858" s="13" t="str">
        <f t="shared" si="83"/>
        <v>funded</v>
      </c>
    </row>
    <row r="859" spans="1:22" ht="3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8322</v>
      </c>
      <c r="R859" t="s">
        <v>8324</v>
      </c>
      <c r="S859" s="14">
        <f t="shared" si="80"/>
        <v>42291.581377314811</v>
      </c>
      <c r="T859" s="14">
        <f t="shared" si="81"/>
        <v>42333.623043981483</v>
      </c>
      <c r="U859" s="64">
        <f t="shared" si="82"/>
        <v>42.041666666671517</v>
      </c>
      <c r="V859" s="13" t="str">
        <f t="shared" si="83"/>
        <v>funded</v>
      </c>
    </row>
    <row r="860" spans="1:22" ht="48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8322</v>
      </c>
      <c r="R860" t="s">
        <v>8324</v>
      </c>
      <c r="S860" s="14">
        <f t="shared" si="80"/>
        <v>42079.745578703703</v>
      </c>
      <c r="T860" s="14">
        <f t="shared" si="81"/>
        <v>42109.957638888889</v>
      </c>
      <c r="U860" s="64">
        <f t="shared" si="82"/>
        <v>30.212060185185692</v>
      </c>
      <c r="V860" s="13" t="str">
        <f t="shared" si="83"/>
        <v>funded</v>
      </c>
    </row>
    <row r="861" spans="1:22" ht="3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8322</v>
      </c>
      <c r="R861" t="s">
        <v>8324</v>
      </c>
      <c r="S861" s="14">
        <f t="shared" si="80"/>
        <v>42128.820231481484</v>
      </c>
      <c r="T861" s="14">
        <f t="shared" si="81"/>
        <v>42159</v>
      </c>
      <c r="U861" s="64">
        <f t="shared" si="82"/>
        <v>30.17976851851563</v>
      </c>
      <c r="V861" s="13" t="str">
        <f t="shared" si="83"/>
        <v>funded</v>
      </c>
    </row>
    <row r="862" spans="1:22" ht="48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8322</v>
      </c>
      <c r="R862" t="s">
        <v>8325</v>
      </c>
      <c r="S862" s="14">
        <f t="shared" si="80"/>
        <v>41570.482789351852</v>
      </c>
      <c r="T862" s="14">
        <f t="shared" si="81"/>
        <v>41600.524456018517</v>
      </c>
      <c r="U862" s="64">
        <f t="shared" si="82"/>
        <v>30.041666666664241</v>
      </c>
      <c r="V862" s="13" t="str">
        <f t="shared" si="83"/>
        <v>underfunded</v>
      </c>
    </row>
    <row r="863" spans="1:22" ht="48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8322</v>
      </c>
      <c r="R863" t="s">
        <v>8325</v>
      </c>
      <c r="S863" s="14">
        <f t="shared" si="80"/>
        <v>42599.965324074074</v>
      </c>
      <c r="T863" s="14">
        <f t="shared" si="81"/>
        <v>42629.965324074074</v>
      </c>
      <c r="U863" s="64">
        <f t="shared" si="82"/>
        <v>30</v>
      </c>
      <c r="V863" s="13" t="str">
        <f t="shared" si="83"/>
        <v>underfunded</v>
      </c>
    </row>
    <row r="864" spans="1:22" ht="48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0" t="s">
        <v>8322</v>
      </c>
      <c r="R864" t="s">
        <v>8325</v>
      </c>
      <c r="S864" s="14">
        <f t="shared" si="80"/>
        <v>41559.5549537037</v>
      </c>
      <c r="T864" s="14">
        <f t="shared" si="81"/>
        <v>41589.596620370372</v>
      </c>
      <c r="U864" s="64">
        <f t="shared" si="82"/>
        <v>30.041666666671517</v>
      </c>
      <c r="V864" s="13" t="str">
        <f t="shared" si="83"/>
        <v>underfunded</v>
      </c>
    </row>
    <row r="865" spans="1:22" ht="48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8322</v>
      </c>
      <c r="R865" t="s">
        <v>8325</v>
      </c>
      <c r="S865" s="14">
        <f t="shared" si="80"/>
        <v>40921.117662037039</v>
      </c>
      <c r="T865" s="14">
        <f t="shared" si="81"/>
        <v>40951.117662037039</v>
      </c>
      <c r="U865" s="64">
        <f t="shared" si="82"/>
        <v>30</v>
      </c>
      <c r="V865" s="13" t="str">
        <f t="shared" si="83"/>
        <v>underfunded</v>
      </c>
    </row>
    <row r="866" spans="1:22" ht="48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8322</v>
      </c>
      <c r="R866" t="s">
        <v>8325</v>
      </c>
      <c r="S866" s="14">
        <f t="shared" si="80"/>
        <v>41541.106921296298</v>
      </c>
      <c r="T866" s="14">
        <f t="shared" si="81"/>
        <v>41563.415972222225</v>
      </c>
      <c r="U866" s="64">
        <f t="shared" si="82"/>
        <v>22.309050925927295</v>
      </c>
      <c r="V866" s="13" t="str">
        <f t="shared" si="83"/>
        <v>underfunded</v>
      </c>
    </row>
    <row r="867" spans="1:22" ht="48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8322</v>
      </c>
      <c r="R867" t="s">
        <v>8325</v>
      </c>
      <c r="S867" s="14">
        <f t="shared" si="80"/>
        <v>41230.77311342593</v>
      </c>
      <c r="T867" s="14">
        <f t="shared" si="81"/>
        <v>41290.77311342593</v>
      </c>
      <c r="U867" s="64">
        <f t="shared" si="82"/>
        <v>60</v>
      </c>
      <c r="V867" s="13" t="str">
        <f t="shared" si="83"/>
        <v>underfunded</v>
      </c>
    </row>
    <row r="868" spans="1:22" ht="48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8322</v>
      </c>
      <c r="R868" t="s">
        <v>8325</v>
      </c>
      <c r="S868" s="14">
        <f t="shared" si="80"/>
        <v>42025.637939814813</v>
      </c>
      <c r="T868" s="14">
        <f t="shared" si="81"/>
        <v>42063.631944444445</v>
      </c>
      <c r="U868" s="64">
        <f t="shared" si="82"/>
        <v>37.9940046296324</v>
      </c>
      <c r="V868" s="13" t="str">
        <f t="shared" si="83"/>
        <v>underfunded</v>
      </c>
    </row>
    <row r="869" spans="1:22" ht="48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8322</v>
      </c>
      <c r="R869" t="s">
        <v>8325</v>
      </c>
      <c r="S869" s="14">
        <f t="shared" si="80"/>
        <v>40088.105393518519</v>
      </c>
      <c r="T869" s="14">
        <f t="shared" si="81"/>
        <v>40148.207638888889</v>
      </c>
      <c r="U869" s="64">
        <f t="shared" si="82"/>
        <v>60.102245370369928</v>
      </c>
      <c r="V869" s="13" t="str">
        <f t="shared" si="83"/>
        <v>underfunded</v>
      </c>
    </row>
    <row r="870" spans="1:22" ht="6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0" t="s">
        <v>8322</v>
      </c>
      <c r="R870" t="s">
        <v>8325</v>
      </c>
      <c r="S870" s="14">
        <f t="shared" si="80"/>
        <v>41616.027754629627</v>
      </c>
      <c r="T870" s="14">
        <f t="shared" si="81"/>
        <v>41646.027754629627</v>
      </c>
      <c r="U870" s="64">
        <f t="shared" si="82"/>
        <v>30</v>
      </c>
      <c r="V870" s="13" t="str">
        <f t="shared" si="83"/>
        <v>underfunded</v>
      </c>
    </row>
    <row r="871" spans="1:22" ht="48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8322</v>
      </c>
      <c r="R871" t="s">
        <v>8325</v>
      </c>
      <c r="S871" s="14">
        <f t="shared" si="80"/>
        <v>41342.845567129632</v>
      </c>
      <c r="T871" s="14">
        <f t="shared" si="81"/>
        <v>41372.803900462961</v>
      </c>
      <c r="U871" s="64">
        <f t="shared" si="82"/>
        <v>29.958333333328483</v>
      </c>
      <c r="V871" s="13" t="str">
        <f t="shared" si="83"/>
        <v>underfunded</v>
      </c>
    </row>
    <row r="872" spans="1:22" ht="48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0" t="s">
        <v>8322</v>
      </c>
      <c r="R872" t="s">
        <v>8325</v>
      </c>
      <c r="S872" s="14">
        <f t="shared" si="80"/>
        <v>41488.022256944445</v>
      </c>
      <c r="T872" s="14">
        <f t="shared" si="81"/>
        <v>41518.022256944445</v>
      </c>
      <c r="U872" s="64">
        <f t="shared" si="82"/>
        <v>30</v>
      </c>
      <c r="V872" s="13" t="str">
        <f t="shared" si="83"/>
        <v>underfunded</v>
      </c>
    </row>
    <row r="873" spans="1:22" ht="48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8322</v>
      </c>
      <c r="R873" t="s">
        <v>8325</v>
      </c>
      <c r="S873" s="14">
        <f t="shared" si="80"/>
        <v>41577.561284722222</v>
      </c>
      <c r="T873" s="14">
        <f t="shared" si="81"/>
        <v>41607.602951388886</v>
      </c>
      <c r="U873" s="64">
        <f t="shared" si="82"/>
        <v>30.041666666664241</v>
      </c>
      <c r="V873" s="13" t="str">
        <f t="shared" si="83"/>
        <v>underfunded</v>
      </c>
    </row>
    <row r="874" spans="1:22" ht="48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8322</v>
      </c>
      <c r="R874" t="s">
        <v>8325</v>
      </c>
      <c r="S874" s="14">
        <f t="shared" si="80"/>
        <v>40567.825543981482</v>
      </c>
      <c r="T874" s="14">
        <f t="shared" si="81"/>
        <v>40612.825543981482</v>
      </c>
      <c r="U874" s="64">
        <f t="shared" si="82"/>
        <v>45</v>
      </c>
      <c r="V874" s="13" t="str">
        <f t="shared" si="83"/>
        <v>underfunded</v>
      </c>
    </row>
    <row r="875" spans="1:22" ht="3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8322</v>
      </c>
      <c r="R875" t="s">
        <v>8325</v>
      </c>
      <c r="S875" s="14">
        <f t="shared" si="80"/>
        <v>41184.167129629634</v>
      </c>
      <c r="T875" s="14">
        <f t="shared" si="81"/>
        <v>41224.208796296298</v>
      </c>
      <c r="U875" s="64">
        <f t="shared" si="82"/>
        <v>40.041666666664241</v>
      </c>
      <c r="V875" s="13" t="str">
        <f t="shared" si="83"/>
        <v>underfunded</v>
      </c>
    </row>
    <row r="876" spans="1:22" ht="48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8322</v>
      </c>
      <c r="R876" t="s">
        <v>8325</v>
      </c>
      <c r="S876" s="14">
        <f t="shared" si="80"/>
        <v>41368.583726851852</v>
      </c>
      <c r="T876" s="14">
        <f t="shared" si="81"/>
        <v>41398.583726851852</v>
      </c>
      <c r="U876" s="64">
        <f t="shared" si="82"/>
        <v>30</v>
      </c>
      <c r="V876" s="13" t="str">
        <f t="shared" si="83"/>
        <v>underfunded</v>
      </c>
    </row>
    <row r="877" spans="1:22" ht="6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0" t="s">
        <v>8322</v>
      </c>
      <c r="R877" t="s">
        <v>8325</v>
      </c>
      <c r="S877" s="14">
        <f t="shared" si="80"/>
        <v>42248.723738425921</v>
      </c>
      <c r="T877" s="14">
        <f t="shared" si="81"/>
        <v>42268.723738425921</v>
      </c>
      <c r="U877" s="64">
        <f t="shared" si="82"/>
        <v>20</v>
      </c>
      <c r="V877" s="13" t="str">
        <f t="shared" si="83"/>
        <v>underfunded</v>
      </c>
    </row>
    <row r="878" spans="1:22" ht="16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8322</v>
      </c>
      <c r="R878" t="s">
        <v>8325</v>
      </c>
      <c r="S878" s="14">
        <f t="shared" si="80"/>
        <v>41276.496840277774</v>
      </c>
      <c r="T878" s="14">
        <f t="shared" si="81"/>
        <v>41309.496840277774</v>
      </c>
      <c r="U878" s="64">
        <f t="shared" si="82"/>
        <v>33</v>
      </c>
      <c r="V878" s="13" t="str">
        <f t="shared" si="83"/>
        <v>underfunded</v>
      </c>
    </row>
    <row r="879" spans="1:22" ht="48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8322</v>
      </c>
      <c r="R879" t="s">
        <v>8325</v>
      </c>
      <c r="S879" s="14">
        <f t="shared" si="80"/>
        <v>41597.788888888892</v>
      </c>
      <c r="T879" s="14">
        <f t="shared" si="81"/>
        <v>41627.788888888892</v>
      </c>
      <c r="U879" s="64">
        <f t="shared" si="82"/>
        <v>30</v>
      </c>
      <c r="V879" s="13" t="str">
        <f t="shared" si="83"/>
        <v>underfunded</v>
      </c>
    </row>
    <row r="880" spans="1:22" ht="48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8322</v>
      </c>
      <c r="R880" t="s">
        <v>8325</v>
      </c>
      <c r="S880" s="14">
        <f t="shared" si="80"/>
        <v>40505.232916666668</v>
      </c>
      <c r="T880" s="14">
        <f t="shared" si="81"/>
        <v>40535.232916666668</v>
      </c>
      <c r="U880" s="64">
        <f t="shared" si="82"/>
        <v>30</v>
      </c>
      <c r="V880" s="13" t="str">
        <f t="shared" si="83"/>
        <v>underfunded</v>
      </c>
    </row>
    <row r="881" spans="1:22" ht="48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8322</v>
      </c>
      <c r="R881" t="s">
        <v>8325</v>
      </c>
      <c r="S881" s="14">
        <f t="shared" si="80"/>
        <v>41037.829918981479</v>
      </c>
      <c r="T881" s="14">
        <f t="shared" si="81"/>
        <v>41058.829918981479</v>
      </c>
      <c r="U881" s="64">
        <f t="shared" si="82"/>
        <v>21</v>
      </c>
      <c r="V881" s="13" t="str">
        <f t="shared" si="83"/>
        <v>underfunded</v>
      </c>
    </row>
    <row r="882" spans="1:22" ht="48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8322</v>
      </c>
      <c r="R882" t="s">
        <v>8326</v>
      </c>
      <c r="S882" s="14">
        <f t="shared" si="80"/>
        <v>41179.32104166667</v>
      </c>
      <c r="T882" s="14">
        <f t="shared" si="81"/>
        <v>41212.32104166667</v>
      </c>
      <c r="U882" s="64">
        <f t="shared" si="82"/>
        <v>33</v>
      </c>
      <c r="V882" s="13" t="str">
        <f t="shared" si="83"/>
        <v>underfunded</v>
      </c>
    </row>
    <row r="883" spans="1:22" ht="48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8322</v>
      </c>
      <c r="R883" t="s">
        <v>8326</v>
      </c>
      <c r="S883" s="14">
        <f t="shared" si="80"/>
        <v>40877.25099537037</v>
      </c>
      <c r="T883" s="14">
        <f t="shared" si="81"/>
        <v>40922.25099537037</v>
      </c>
      <c r="U883" s="64">
        <f t="shared" si="82"/>
        <v>45</v>
      </c>
      <c r="V883" s="13" t="str">
        <f t="shared" si="83"/>
        <v>underfunded</v>
      </c>
    </row>
    <row r="884" spans="1:22" ht="48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8322</v>
      </c>
      <c r="R884" t="s">
        <v>8326</v>
      </c>
      <c r="S884" s="14">
        <f t="shared" si="80"/>
        <v>40759.860532407409</v>
      </c>
      <c r="T884" s="14">
        <f t="shared" si="81"/>
        <v>40792.860532407409</v>
      </c>
      <c r="U884" s="64">
        <f t="shared" si="82"/>
        <v>33</v>
      </c>
      <c r="V884" s="13" t="str">
        <f t="shared" si="83"/>
        <v>underfunded</v>
      </c>
    </row>
    <row r="885" spans="1:22" ht="48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8322</v>
      </c>
      <c r="R885" t="s">
        <v>8326</v>
      </c>
      <c r="S885" s="14">
        <f t="shared" si="80"/>
        <v>42371.935590277775</v>
      </c>
      <c r="T885" s="14">
        <f t="shared" si="81"/>
        <v>42431.935590277775</v>
      </c>
      <c r="U885" s="64">
        <f t="shared" si="82"/>
        <v>60</v>
      </c>
      <c r="V885" s="13" t="str">
        <f t="shared" si="83"/>
        <v>underfunded</v>
      </c>
    </row>
    <row r="886" spans="1:22" ht="48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8322</v>
      </c>
      <c r="R886" t="s">
        <v>8326</v>
      </c>
      <c r="S886" s="14">
        <f t="shared" si="80"/>
        <v>40981.802615740737</v>
      </c>
      <c r="T886" s="14">
        <f t="shared" si="81"/>
        <v>41041.104861111111</v>
      </c>
      <c r="U886" s="64">
        <f t="shared" si="82"/>
        <v>59.302245370374294</v>
      </c>
      <c r="V886" s="13" t="str">
        <f t="shared" si="83"/>
        <v>underfunded</v>
      </c>
    </row>
    <row r="887" spans="1:22" ht="48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8322</v>
      </c>
      <c r="R887" t="s">
        <v>8326</v>
      </c>
      <c r="S887" s="14">
        <f t="shared" si="80"/>
        <v>42713.941099537042</v>
      </c>
      <c r="T887" s="14">
        <f t="shared" si="81"/>
        <v>42734.941099537042</v>
      </c>
      <c r="U887" s="64">
        <f t="shared" si="82"/>
        <v>21</v>
      </c>
      <c r="V887" s="13" t="str">
        <f t="shared" si="83"/>
        <v>underfunded</v>
      </c>
    </row>
    <row r="888" spans="1:22" ht="48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8322</v>
      </c>
      <c r="R888" t="s">
        <v>8326</v>
      </c>
      <c r="S888" s="14">
        <f t="shared" si="80"/>
        <v>42603.870520833334</v>
      </c>
      <c r="T888" s="14">
        <f t="shared" si="81"/>
        <v>42628.870520833334</v>
      </c>
      <c r="U888" s="64">
        <f t="shared" si="82"/>
        <v>25</v>
      </c>
      <c r="V888" s="13" t="str">
        <f t="shared" si="83"/>
        <v>underfunded</v>
      </c>
    </row>
    <row r="889" spans="1:22" ht="48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0" t="s">
        <v>8322</v>
      </c>
      <c r="R889" t="s">
        <v>8326</v>
      </c>
      <c r="S889" s="14">
        <f t="shared" si="80"/>
        <v>41026.958969907406</v>
      </c>
      <c r="T889" s="14">
        <f t="shared" si="81"/>
        <v>41056.958969907406</v>
      </c>
      <c r="U889" s="64">
        <f t="shared" si="82"/>
        <v>30</v>
      </c>
      <c r="V889" s="13" t="str">
        <f t="shared" si="83"/>
        <v>underfunded</v>
      </c>
    </row>
    <row r="890" spans="1:22" ht="48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8322</v>
      </c>
      <c r="R890" t="s">
        <v>8326</v>
      </c>
      <c r="S890" s="14">
        <f t="shared" si="80"/>
        <v>40751.753298611111</v>
      </c>
      <c r="T890" s="14">
        <f t="shared" si="81"/>
        <v>40787.25</v>
      </c>
      <c r="U890" s="64">
        <f t="shared" si="82"/>
        <v>35.496701388889051</v>
      </c>
      <c r="V890" s="13" t="str">
        <f t="shared" si="83"/>
        <v>underfunded</v>
      </c>
    </row>
    <row r="891" spans="1:22" ht="48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8322</v>
      </c>
      <c r="R891" t="s">
        <v>8326</v>
      </c>
      <c r="S891" s="14">
        <f t="shared" si="80"/>
        <v>41887.784062500003</v>
      </c>
      <c r="T891" s="14">
        <f t="shared" si="81"/>
        <v>41917.784062500003</v>
      </c>
      <c r="U891" s="64">
        <f t="shared" si="82"/>
        <v>30</v>
      </c>
      <c r="V891" s="13" t="str">
        <f t="shared" si="83"/>
        <v>underfunded</v>
      </c>
    </row>
    <row r="892" spans="1:22" ht="48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8322</v>
      </c>
      <c r="R892" t="s">
        <v>8326</v>
      </c>
      <c r="S892" s="14">
        <f t="shared" si="80"/>
        <v>41569.698831018519</v>
      </c>
      <c r="T892" s="14">
        <f t="shared" si="81"/>
        <v>41599.740497685183</v>
      </c>
      <c r="U892" s="64">
        <f t="shared" si="82"/>
        <v>30.041666666664241</v>
      </c>
      <c r="V892" s="13" t="str">
        <f t="shared" si="83"/>
        <v>underfunded</v>
      </c>
    </row>
    <row r="893" spans="1:22" ht="48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8322</v>
      </c>
      <c r="R893" t="s">
        <v>8326</v>
      </c>
      <c r="S893" s="14">
        <f t="shared" si="80"/>
        <v>41842.031597222223</v>
      </c>
      <c r="T893" s="14">
        <f t="shared" si="81"/>
        <v>41872.031597222223</v>
      </c>
      <c r="U893" s="64">
        <f t="shared" si="82"/>
        <v>30</v>
      </c>
      <c r="V893" s="13" t="str">
        <f t="shared" si="83"/>
        <v>underfunded</v>
      </c>
    </row>
    <row r="894" spans="1:22" ht="48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8322</v>
      </c>
      <c r="R894" t="s">
        <v>8326</v>
      </c>
      <c r="S894" s="14">
        <f t="shared" si="80"/>
        <v>40304.20003472222</v>
      </c>
      <c r="T894" s="14">
        <f t="shared" si="81"/>
        <v>40391.166666666664</v>
      </c>
      <c r="U894" s="64">
        <f t="shared" si="82"/>
        <v>86.966631944444089</v>
      </c>
      <c r="V894" s="13" t="str">
        <f t="shared" si="83"/>
        <v>underfunded</v>
      </c>
    </row>
    <row r="895" spans="1:22" ht="48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8322</v>
      </c>
      <c r="R895" t="s">
        <v>8326</v>
      </c>
      <c r="S895" s="14">
        <f t="shared" si="80"/>
        <v>42065.897719907407</v>
      </c>
      <c r="T895" s="14">
        <f t="shared" si="81"/>
        <v>42095.856053240743</v>
      </c>
      <c r="U895" s="64">
        <f t="shared" si="82"/>
        <v>29.958333333335759</v>
      </c>
      <c r="V895" s="13" t="str">
        <f t="shared" si="83"/>
        <v>underfunded</v>
      </c>
    </row>
    <row r="896" spans="1:22" ht="48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8322</v>
      </c>
      <c r="R896" t="s">
        <v>8326</v>
      </c>
      <c r="S896" s="14">
        <f t="shared" si="80"/>
        <v>42496.981597222228</v>
      </c>
      <c r="T896" s="14">
        <f t="shared" si="81"/>
        <v>42526.981597222228</v>
      </c>
      <c r="U896" s="64">
        <f t="shared" si="82"/>
        <v>30</v>
      </c>
      <c r="V896" s="13" t="str">
        <f t="shared" si="83"/>
        <v>underfunded</v>
      </c>
    </row>
    <row r="897" spans="1:22" ht="48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8322</v>
      </c>
      <c r="R897" t="s">
        <v>8326</v>
      </c>
      <c r="S897" s="14">
        <f t="shared" si="80"/>
        <v>40431.127650462964</v>
      </c>
      <c r="T897" s="14">
        <f t="shared" si="81"/>
        <v>40476.127650462964</v>
      </c>
      <c r="U897" s="64">
        <f t="shared" si="82"/>
        <v>45</v>
      </c>
      <c r="V897" s="13" t="str">
        <f t="shared" si="83"/>
        <v>underfunded</v>
      </c>
    </row>
    <row r="898" spans="1:22" ht="48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</v>
      </c>
      <c r="Q898" s="10" t="s">
        <v>8322</v>
      </c>
      <c r="R898" t="s">
        <v>8326</v>
      </c>
      <c r="S898" s="14">
        <f t="shared" si="80"/>
        <v>42218.872986111113</v>
      </c>
      <c r="T898" s="14">
        <f t="shared" si="81"/>
        <v>42244.166666666672</v>
      </c>
      <c r="U898" s="64">
        <f t="shared" si="82"/>
        <v>25.29368055555824</v>
      </c>
      <c r="V898" s="13" t="str">
        <f t="shared" si="83"/>
        <v>underfunded</v>
      </c>
    </row>
    <row r="899" spans="1:22" ht="48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ROUND(E899/D899*100,0)</f>
        <v>0</v>
      </c>
      <c r="P899">
        <f t="shared" ref="P899:P962" si="85">IFERROR(ROUND(E899/L899,2), 0)</f>
        <v>0</v>
      </c>
      <c r="Q899" s="10" t="s">
        <v>8322</v>
      </c>
      <c r="R899" t="s">
        <v>8326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 s="64">
        <f t="shared" ref="U899:V962" si="88">T899-S899</f>
        <v>30.041666666664241</v>
      </c>
      <c r="V899" s="13" t="str">
        <f t="shared" ref="V899:V962" si="89">IF(E899&gt;=D899, "funded", "underfunded")</f>
        <v>underfunded</v>
      </c>
    </row>
    <row r="900" spans="1:22" ht="48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8322</v>
      </c>
      <c r="R900" t="s">
        <v>8326</v>
      </c>
      <c r="S900" s="14">
        <f t="shared" si="86"/>
        <v>40878.758217592593</v>
      </c>
      <c r="T900" s="14">
        <f t="shared" si="87"/>
        <v>40923.758217592593</v>
      </c>
      <c r="U900" s="64">
        <f t="shared" si="88"/>
        <v>45</v>
      </c>
      <c r="V900" s="13" t="str">
        <f t="shared" si="89"/>
        <v>underfunded</v>
      </c>
    </row>
    <row r="901" spans="1:22" ht="48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8322</v>
      </c>
      <c r="R901" t="s">
        <v>8326</v>
      </c>
      <c r="S901" s="14">
        <f t="shared" si="86"/>
        <v>40646.099097222221</v>
      </c>
      <c r="T901" s="14">
        <f t="shared" si="87"/>
        <v>40691.099097222221</v>
      </c>
      <c r="U901" s="64">
        <f t="shared" si="88"/>
        <v>45</v>
      </c>
      <c r="V901" s="13" t="str">
        <f t="shared" si="89"/>
        <v>underfunded</v>
      </c>
    </row>
    <row r="902" spans="1:22" ht="3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0" t="s">
        <v>8322</v>
      </c>
      <c r="R902" t="s">
        <v>8325</v>
      </c>
      <c r="S902" s="14">
        <f t="shared" si="86"/>
        <v>42429.84956018519</v>
      </c>
      <c r="T902" s="14">
        <f t="shared" si="87"/>
        <v>42459.807893518519</v>
      </c>
      <c r="U902" s="64">
        <f t="shared" si="88"/>
        <v>29.958333333328483</v>
      </c>
      <c r="V902" s="13" t="str">
        <f t="shared" si="89"/>
        <v>underfunded</v>
      </c>
    </row>
    <row r="903" spans="1:22" ht="6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0" t="s">
        <v>8322</v>
      </c>
      <c r="R903" t="s">
        <v>8325</v>
      </c>
      <c r="S903" s="14">
        <f t="shared" si="86"/>
        <v>40291.81150462963</v>
      </c>
      <c r="T903" s="14">
        <f t="shared" si="87"/>
        <v>40337.799305555556</v>
      </c>
      <c r="U903" s="64">
        <f t="shared" si="88"/>
        <v>45.987800925926422</v>
      </c>
      <c r="V903" s="13" t="str">
        <f t="shared" si="89"/>
        <v>underfunded</v>
      </c>
    </row>
    <row r="904" spans="1:22" ht="48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0" t="s">
        <v>8322</v>
      </c>
      <c r="R904" t="s">
        <v>8325</v>
      </c>
      <c r="S904" s="14">
        <f t="shared" si="86"/>
        <v>41829.965532407405</v>
      </c>
      <c r="T904" s="14">
        <f t="shared" si="87"/>
        <v>41881.645833333336</v>
      </c>
      <c r="U904" s="64">
        <f t="shared" si="88"/>
        <v>51.680300925931078</v>
      </c>
      <c r="V904" s="13" t="str">
        <f t="shared" si="89"/>
        <v>underfunded</v>
      </c>
    </row>
    <row r="905" spans="1:22" ht="48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8322</v>
      </c>
      <c r="R905" t="s">
        <v>8325</v>
      </c>
      <c r="S905" s="14">
        <f t="shared" si="86"/>
        <v>41149.796064814815</v>
      </c>
      <c r="T905" s="14">
        <f t="shared" si="87"/>
        <v>41175.100694444445</v>
      </c>
      <c r="U905" s="64">
        <f t="shared" si="88"/>
        <v>25.304629629630654</v>
      </c>
      <c r="V905" s="13" t="str">
        <f t="shared" si="89"/>
        <v>underfunded</v>
      </c>
    </row>
    <row r="906" spans="1:22" ht="48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0" t="s">
        <v>8322</v>
      </c>
      <c r="R906" t="s">
        <v>8325</v>
      </c>
      <c r="S906" s="14">
        <f t="shared" si="86"/>
        <v>42342.080289351856</v>
      </c>
      <c r="T906" s="14">
        <f t="shared" si="87"/>
        <v>42372.080289351856</v>
      </c>
      <c r="U906" s="64">
        <f t="shared" si="88"/>
        <v>30</v>
      </c>
      <c r="V906" s="13" t="str">
        <f t="shared" si="89"/>
        <v>underfunded</v>
      </c>
    </row>
    <row r="907" spans="1:22" ht="48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8322</v>
      </c>
      <c r="R907" t="s">
        <v>8325</v>
      </c>
      <c r="S907" s="14">
        <f t="shared" si="86"/>
        <v>40507.239884259259</v>
      </c>
      <c r="T907" s="14">
        <f t="shared" si="87"/>
        <v>40567.239884259259</v>
      </c>
      <c r="U907" s="64">
        <f t="shared" si="88"/>
        <v>60</v>
      </c>
      <c r="V907" s="13" t="str">
        <f t="shared" si="89"/>
        <v>underfunded</v>
      </c>
    </row>
    <row r="908" spans="1:22" ht="3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0" t="s">
        <v>8322</v>
      </c>
      <c r="R908" t="s">
        <v>8325</v>
      </c>
      <c r="S908" s="14">
        <f t="shared" si="86"/>
        <v>41681.189699074072</v>
      </c>
      <c r="T908" s="14">
        <f t="shared" si="87"/>
        <v>41711.148032407407</v>
      </c>
      <c r="U908" s="64">
        <f t="shared" si="88"/>
        <v>29.958333333335759</v>
      </c>
      <c r="V908" s="13" t="str">
        <f t="shared" si="89"/>
        <v>underfunded</v>
      </c>
    </row>
    <row r="909" spans="1:22" ht="3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0" t="s">
        <v>8322</v>
      </c>
      <c r="R909" t="s">
        <v>8325</v>
      </c>
      <c r="S909" s="14">
        <f t="shared" si="86"/>
        <v>40767.192395833335</v>
      </c>
      <c r="T909" s="14">
        <f t="shared" si="87"/>
        <v>40797.192395833335</v>
      </c>
      <c r="U909" s="64">
        <f t="shared" si="88"/>
        <v>30</v>
      </c>
      <c r="V909" s="13" t="str">
        <f t="shared" si="89"/>
        <v>underfunded</v>
      </c>
    </row>
    <row r="910" spans="1:22" ht="48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0" t="s">
        <v>8322</v>
      </c>
      <c r="R910" t="s">
        <v>8325</v>
      </c>
      <c r="S910" s="14">
        <f t="shared" si="86"/>
        <v>40340.801562499997</v>
      </c>
      <c r="T910" s="14">
        <f t="shared" si="87"/>
        <v>40386.207638888889</v>
      </c>
      <c r="U910" s="64">
        <f t="shared" si="88"/>
        <v>45.406076388891961</v>
      </c>
      <c r="V910" s="13" t="str">
        <f t="shared" si="89"/>
        <v>underfunded</v>
      </c>
    </row>
    <row r="911" spans="1:22" ht="48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8322</v>
      </c>
      <c r="R911" t="s">
        <v>8325</v>
      </c>
      <c r="S911" s="14">
        <f t="shared" si="86"/>
        <v>41081.69027777778</v>
      </c>
      <c r="T911" s="14">
        <f t="shared" si="87"/>
        <v>41113.166666666664</v>
      </c>
      <c r="U911" s="64">
        <f t="shared" si="88"/>
        <v>31.476388888884685</v>
      </c>
      <c r="V911" s="13" t="str">
        <f t="shared" si="89"/>
        <v>underfunded</v>
      </c>
    </row>
    <row r="912" spans="1:22" ht="48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8322</v>
      </c>
      <c r="R912" t="s">
        <v>8325</v>
      </c>
      <c r="S912" s="14">
        <f t="shared" si="86"/>
        <v>42737.545358796298</v>
      </c>
      <c r="T912" s="14">
        <f t="shared" si="87"/>
        <v>42797.545358796298</v>
      </c>
      <c r="U912" s="64">
        <f t="shared" si="88"/>
        <v>60</v>
      </c>
      <c r="V912" s="13" t="str">
        <f t="shared" si="89"/>
        <v>underfunded</v>
      </c>
    </row>
    <row r="913" spans="1:22" ht="48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0" t="s">
        <v>8322</v>
      </c>
      <c r="R913" t="s">
        <v>8325</v>
      </c>
      <c r="S913" s="14">
        <f t="shared" si="86"/>
        <v>41642.005150462966</v>
      </c>
      <c r="T913" s="14">
        <f t="shared" si="87"/>
        <v>41663.005150462966</v>
      </c>
      <c r="U913" s="64">
        <f t="shared" si="88"/>
        <v>21</v>
      </c>
      <c r="V913" s="13" t="str">
        <f t="shared" si="89"/>
        <v>underfunded</v>
      </c>
    </row>
    <row r="914" spans="1:22" ht="48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8322</v>
      </c>
      <c r="R914" t="s">
        <v>8325</v>
      </c>
      <c r="S914" s="14">
        <f t="shared" si="86"/>
        <v>41194.109340277777</v>
      </c>
      <c r="T914" s="14">
        <f t="shared" si="87"/>
        <v>41254.151006944441</v>
      </c>
      <c r="U914" s="64">
        <f t="shared" si="88"/>
        <v>60.041666666664241</v>
      </c>
      <c r="V914" s="13" t="str">
        <f t="shared" si="89"/>
        <v>underfunded</v>
      </c>
    </row>
    <row r="915" spans="1:22" ht="48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8322</v>
      </c>
      <c r="R915" t="s">
        <v>8325</v>
      </c>
      <c r="S915" s="14">
        <f t="shared" si="86"/>
        <v>41004.139108796298</v>
      </c>
      <c r="T915" s="14">
        <f t="shared" si="87"/>
        <v>41034.139108796298</v>
      </c>
      <c r="U915" s="64">
        <f t="shared" si="88"/>
        <v>30</v>
      </c>
      <c r="V915" s="13" t="str">
        <f t="shared" si="89"/>
        <v>underfunded</v>
      </c>
    </row>
    <row r="916" spans="1:22" ht="48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0" t="s">
        <v>8322</v>
      </c>
      <c r="R916" t="s">
        <v>8325</v>
      </c>
      <c r="S916" s="14">
        <f t="shared" si="86"/>
        <v>41116.763275462967</v>
      </c>
      <c r="T916" s="14">
        <f t="shared" si="87"/>
        <v>41146.763275462967</v>
      </c>
      <c r="U916" s="64">
        <f t="shared" si="88"/>
        <v>30</v>
      </c>
      <c r="V916" s="13" t="str">
        <f t="shared" si="89"/>
        <v>underfunded</v>
      </c>
    </row>
    <row r="917" spans="1:22" ht="48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8322</v>
      </c>
      <c r="R917" t="s">
        <v>8325</v>
      </c>
      <c r="S917" s="14">
        <f t="shared" si="86"/>
        <v>40937.679560185185</v>
      </c>
      <c r="T917" s="14">
        <f t="shared" si="87"/>
        <v>40969.207638888889</v>
      </c>
      <c r="U917" s="64">
        <f t="shared" si="88"/>
        <v>31.528078703704523</v>
      </c>
      <c r="V917" s="13" t="str">
        <f t="shared" si="89"/>
        <v>underfunded</v>
      </c>
    </row>
    <row r="918" spans="1:22" ht="48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0" t="s">
        <v>8322</v>
      </c>
      <c r="R918" t="s">
        <v>8325</v>
      </c>
      <c r="S918" s="14">
        <f t="shared" si="86"/>
        <v>40434.853402777779</v>
      </c>
      <c r="T918" s="14">
        <f t="shared" si="87"/>
        <v>40473.208333333336</v>
      </c>
      <c r="U918" s="64">
        <f t="shared" si="88"/>
        <v>38.354930555557075</v>
      </c>
      <c r="V918" s="13" t="str">
        <f t="shared" si="89"/>
        <v>underfunded</v>
      </c>
    </row>
    <row r="919" spans="1:22" ht="48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8322</v>
      </c>
      <c r="R919" t="s">
        <v>8325</v>
      </c>
      <c r="S919" s="14">
        <f t="shared" si="86"/>
        <v>41802.94363425926</v>
      </c>
      <c r="T919" s="14">
        <f t="shared" si="87"/>
        <v>41834.104166666664</v>
      </c>
      <c r="U919" s="64">
        <f t="shared" si="88"/>
        <v>31.160532407404389</v>
      </c>
      <c r="V919" s="13" t="str">
        <f t="shared" si="89"/>
        <v>underfunded</v>
      </c>
    </row>
    <row r="920" spans="1:22" ht="48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8322</v>
      </c>
      <c r="R920" t="s">
        <v>8325</v>
      </c>
      <c r="S920" s="14">
        <f t="shared" si="86"/>
        <v>41944.916215277779</v>
      </c>
      <c r="T920" s="14">
        <f t="shared" si="87"/>
        <v>41974.957881944443</v>
      </c>
      <c r="U920" s="64">
        <f t="shared" si="88"/>
        <v>30.041666666664241</v>
      </c>
      <c r="V920" s="13" t="str">
        <f t="shared" si="89"/>
        <v>underfunded</v>
      </c>
    </row>
    <row r="921" spans="1:22" ht="16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8322</v>
      </c>
      <c r="R921" t="s">
        <v>8325</v>
      </c>
      <c r="S921" s="14">
        <f t="shared" si="86"/>
        <v>41227.641724537039</v>
      </c>
      <c r="T921" s="14">
        <f t="shared" si="87"/>
        <v>41262.641724537039</v>
      </c>
      <c r="U921" s="64">
        <f t="shared" si="88"/>
        <v>35</v>
      </c>
      <c r="V921" s="13" t="str">
        <f t="shared" si="89"/>
        <v>underfunded</v>
      </c>
    </row>
    <row r="922" spans="1:22" ht="48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0" t="s">
        <v>8322</v>
      </c>
      <c r="R922" t="s">
        <v>8325</v>
      </c>
      <c r="S922" s="14">
        <f t="shared" si="86"/>
        <v>41562.67155092593</v>
      </c>
      <c r="T922" s="14">
        <f t="shared" si="87"/>
        <v>41592.713217592594</v>
      </c>
      <c r="U922" s="64">
        <f t="shared" si="88"/>
        <v>30.041666666664241</v>
      </c>
      <c r="V922" s="13" t="str">
        <f t="shared" si="89"/>
        <v>underfunded</v>
      </c>
    </row>
    <row r="923" spans="1:22" ht="48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8322</v>
      </c>
      <c r="R923" t="s">
        <v>8325</v>
      </c>
      <c r="S923" s="14">
        <f t="shared" si="86"/>
        <v>40847.171018518515</v>
      </c>
      <c r="T923" s="14">
        <f t="shared" si="87"/>
        <v>40889.212685185186</v>
      </c>
      <c r="U923" s="64">
        <f t="shared" si="88"/>
        <v>42.041666666671517</v>
      </c>
      <c r="V923" s="13" t="str">
        <f t="shared" si="89"/>
        <v>underfunded</v>
      </c>
    </row>
    <row r="924" spans="1:22" ht="48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8322</v>
      </c>
      <c r="R924" t="s">
        <v>8325</v>
      </c>
      <c r="S924" s="14">
        <f t="shared" si="86"/>
        <v>41878.530011574076</v>
      </c>
      <c r="T924" s="14">
        <f t="shared" si="87"/>
        <v>41913.530011574076</v>
      </c>
      <c r="U924" s="64">
        <f t="shared" si="88"/>
        <v>35</v>
      </c>
      <c r="V924" s="13" t="str">
        <f t="shared" si="89"/>
        <v>underfunded</v>
      </c>
    </row>
    <row r="925" spans="1:22" ht="48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8322</v>
      </c>
      <c r="R925" t="s">
        <v>8325</v>
      </c>
      <c r="S925" s="14">
        <f t="shared" si="86"/>
        <v>41934.959756944445</v>
      </c>
      <c r="T925" s="14">
        <f t="shared" si="87"/>
        <v>41965.001423611116</v>
      </c>
      <c r="U925" s="64">
        <f t="shared" si="88"/>
        <v>30.041666666671517</v>
      </c>
      <c r="V925" s="13" t="str">
        <f t="shared" si="89"/>
        <v>underfunded</v>
      </c>
    </row>
    <row r="926" spans="1:22" ht="48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8322</v>
      </c>
      <c r="R926" t="s">
        <v>8325</v>
      </c>
      <c r="S926" s="14">
        <f t="shared" si="86"/>
        <v>41288.942928240744</v>
      </c>
      <c r="T926" s="14">
        <f t="shared" si="87"/>
        <v>41318.942928240744</v>
      </c>
      <c r="U926" s="64">
        <f t="shared" si="88"/>
        <v>30</v>
      </c>
      <c r="V926" s="13" t="str">
        <f t="shared" si="89"/>
        <v>underfunded</v>
      </c>
    </row>
    <row r="927" spans="1:22" ht="48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8322</v>
      </c>
      <c r="R927" t="s">
        <v>8325</v>
      </c>
      <c r="S927" s="14">
        <f t="shared" si="86"/>
        <v>41575.880914351852</v>
      </c>
      <c r="T927" s="14">
        <f t="shared" si="87"/>
        <v>41605.922581018516</v>
      </c>
      <c r="U927" s="64">
        <f t="shared" si="88"/>
        <v>30.041666666664241</v>
      </c>
      <c r="V927" s="13" t="str">
        <f t="shared" si="89"/>
        <v>underfunded</v>
      </c>
    </row>
    <row r="928" spans="1:22" ht="6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0" t="s">
        <v>8322</v>
      </c>
      <c r="R928" t="s">
        <v>8325</v>
      </c>
      <c r="S928" s="14">
        <f t="shared" si="86"/>
        <v>40338.02002314815</v>
      </c>
      <c r="T928" s="14">
        <f t="shared" si="87"/>
        <v>40367.944444444445</v>
      </c>
      <c r="U928" s="64">
        <f t="shared" si="88"/>
        <v>29.924421296294895</v>
      </c>
      <c r="V928" s="13" t="str">
        <f t="shared" si="89"/>
        <v>underfunded</v>
      </c>
    </row>
    <row r="929" spans="1:22" ht="3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0" t="s">
        <v>8322</v>
      </c>
      <c r="R929" t="s">
        <v>8325</v>
      </c>
      <c r="S929" s="14">
        <f t="shared" si="86"/>
        <v>41013.822858796295</v>
      </c>
      <c r="T929" s="14">
        <f t="shared" si="87"/>
        <v>41043.822858796295</v>
      </c>
      <c r="U929" s="64">
        <f t="shared" si="88"/>
        <v>30</v>
      </c>
      <c r="V929" s="13" t="str">
        <f t="shared" si="89"/>
        <v>underfunded</v>
      </c>
    </row>
    <row r="930" spans="1:22" ht="48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8322</v>
      </c>
      <c r="R930" t="s">
        <v>8325</v>
      </c>
      <c r="S930" s="14">
        <f t="shared" si="86"/>
        <v>41180.86241898148</v>
      </c>
      <c r="T930" s="14">
        <f t="shared" si="87"/>
        <v>41231</v>
      </c>
      <c r="U930" s="64">
        <f t="shared" si="88"/>
        <v>50.137581018519995</v>
      </c>
      <c r="V930" s="13" t="str">
        <f t="shared" si="89"/>
        <v>underfunded</v>
      </c>
    </row>
    <row r="931" spans="1:22" ht="48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0" t="s">
        <v>8322</v>
      </c>
      <c r="R931" t="s">
        <v>8325</v>
      </c>
      <c r="S931" s="14">
        <f t="shared" si="86"/>
        <v>40978.238067129627</v>
      </c>
      <c r="T931" s="14">
        <f t="shared" si="87"/>
        <v>41008.196400462963</v>
      </c>
      <c r="U931" s="64">
        <f t="shared" si="88"/>
        <v>29.958333333335759</v>
      </c>
      <c r="V931" s="13" t="str">
        <f t="shared" si="89"/>
        <v>underfunded</v>
      </c>
    </row>
    <row r="932" spans="1:22" ht="48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8322</v>
      </c>
      <c r="R932" t="s">
        <v>8325</v>
      </c>
      <c r="S932" s="14">
        <f t="shared" si="86"/>
        <v>40312.915578703702</v>
      </c>
      <c r="T932" s="14">
        <f t="shared" si="87"/>
        <v>40354.897222222222</v>
      </c>
      <c r="U932" s="64">
        <f t="shared" si="88"/>
        <v>41.981643518520286</v>
      </c>
      <c r="V932" s="13" t="str">
        <f t="shared" si="89"/>
        <v>underfunded</v>
      </c>
    </row>
    <row r="933" spans="1:22" ht="48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8322</v>
      </c>
      <c r="R933" t="s">
        <v>8325</v>
      </c>
      <c r="S933" s="14">
        <f t="shared" si="86"/>
        <v>41680.359976851854</v>
      </c>
      <c r="T933" s="14">
        <f t="shared" si="87"/>
        <v>41714.916666666664</v>
      </c>
      <c r="U933" s="64">
        <f t="shared" si="88"/>
        <v>34.556689814809943</v>
      </c>
      <c r="V933" s="13" t="str">
        <f t="shared" si="89"/>
        <v>underfunded</v>
      </c>
    </row>
    <row r="934" spans="1:22" ht="3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8322</v>
      </c>
      <c r="R934" t="s">
        <v>8325</v>
      </c>
      <c r="S934" s="14">
        <f t="shared" si="86"/>
        <v>41310.969270833331</v>
      </c>
      <c r="T934" s="14">
        <f t="shared" si="87"/>
        <v>41355.927604166667</v>
      </c>
      <c r="U934" s="64">
        <f t="shared" si="88"/>
        <v>44.958333333335759</v>
      </c>
      <c r="V934" s="13" t="str">
        <f t="shared" si="89"/>
        <v>underfunded</v>
      </c>
    </row>
    <row r="935" spans="1:22" ht="48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8322</v>
      </c>
      <c r="R935" t="s">
        <v>8325</v>
      </c>
      <c r="S935" s="14">
        <f t="shared" si="86"/>
        <v>41711.169085648151</v>
      </c>
      <c r="T935" s="14">
        <f t="shared" si="87"/>
        <v>41771.169085648151</v>
      </c>
      <c r="U935" s="64">
        <f t="shared" si="88"/>
        <v>60</v>
      </c>
      <c r="V935" s="13" t="str">
        <f t="shared" si="89"/>
        <v>underfunded</v>
      </c>
    </row>
    <row r="936" spans="1:22" ht="48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8322</v>
      </c>
      <c r="R936" t="s">
        <v>8325</v>
      </c>
      <c r="S936" s="14">
        <f t="shared" si="86"/>
        <v>41733.737083333333</v>
      </c>
      <c r="T936" s="14">
        <f t="shared" si="87"/>
        <v>41763.25</v>
      </c>
      <c r="U936" s="64">
        <f t="shared" si="88"/>
        <v>29.51291666666657</v>
      </c>
      <c r="V936" s="13" t="str">
        <f t="shared" si="89"/>
        <v>underfunded</v>
      </c>
    </row>
    <row r="937" spans="1:22" ht="48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8322</v>
      </c>
      <c r="R937" t="s">
        <v>8325</v>
      </c>
      <c r="S937" s="14">
        <f t="shared" si="86"/>
        <v>42368.333668981482</v>
      </c>
      <c r="T937" s="14">
        <f t="shared" si="87"/>
        <v>42398.333668981482</v>
      </c>
      <c r="U937" s="64">
        <f t="shared" si="88"/>
        <v>30</v>
      </c>
      <c r="V937" s="13" t="str">
        <f t="shared" si="89"/>
        <v>underfunded</v>
      </c>
    </row>
    <row r="938" spans="1:22" ht="48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0" t="s">
        <v>8322</v>
      </c>
      <c r="R938" t="s">
        <v>8325</v>
      </c>
      <c r="S938" s="14">
        <f t="shared" si="86"/>
        <v>40883.024178240739</v>
      </c>
      <c r="T938" s="14">
        <f t="shared" si="87"/>
        <v>40926.833333333336</v>
      </c>
      <c r="U938" s="64">
        <f t="shared" si="88"/>
        <v>43.809155092596484</v>
      </c>
      <c r="V938" s="13" t="str">
        <f t="shared" si="89"/>
        <v>underfunded</v>
      </c>
    </row>
    <row r="939" spans="1:22" ht="48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8322</v>
      </c>
      <c r="R939" t="s">
        <v>8325</v>
      </c>
      <c r="S939" s="14">
        <f t="shared" si="86"/>
        <v>41551.798113425924</v>
      </c>
      <c r="T939" s="14">
        <f t="shared" si="87"/>
        <v>41581.839780092596</v>
      </c>
      <c r="U939" s="64">
        <f t="shared" si="88"/>
        <v>30.041666666671517</v>
      </c>
      <c r="V939" s="13" t="str">
        <f t="shared" si="89"/>
        <v>underfunded</v>
      </c>
    </row>
    <row r="940" spans="1:22" ht="48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0" t="s">
        <v>8322</v>
      </c>
      <c r="R940" t="s">
        <v>8325</v>
      </c>
      <c r="S940" s="14">
        <f t="shared" si="86"/>
        <v>41124.479722222226</v>
      </c>
      <c r="T940" s="14">
        <f t="shared" si="87"/>
        <v>41154.479722222226</v>
      </c>
      <c r="U940" s="64">
        <f t="shared" si="88"/>
        <v>30</v>
      </c>
      <c r="V940" s="13" t="str">
        <f t="shared" si="89"/>
        <v>underfunded</v>
      </c>
    </row>
    <row r="941" spans="1:22" ht="48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8322</v>
      </c>
      <c r="R941" t="s">
        <v>8325</v>
      </c>
      <c r="S941" s="14">
        <f t="shared" si="86"/>
        <v>41416.763171296298</v>
      </c>
      <c r="T941" s="14">
        <f t="shared" si="87"/>
        <v>41455.831944444442</v>
      </c>
      <c r="U941" s="64">
        <f t="shared" si="88"/>
        <v>39.068773148144828</v>
      </c>
      <c r="V941" s="13" t="str">
        <f t="shared" si="89"/>
        <v>underfunded</v>
      </c>
    </row>
    <row r="942" spans="1:22" ht="48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8316</v>
      </c>
      <c r="R942" t="s">
        <v>8318</v>
      </c>
      <c r="S942" s="14">
        <f t="shared" si="86"/>
        <v>42182.008402777778</v>
      </c>
      <c r="T942" s="14">
        <f t="shared" si="87"/>
        <v>42227.008402777778</v>
      </c>
      <c r="U942" s="64">
        <f t="shared" si="88"/>
        <v>45</v>
      </c>
      <c r="V942" s="13" t="str">
        <f t="shared" si="89"/>
        <v>underfunded</v>
      </c>
    </row>
    <row r="943" spans="1:22" ht="48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8316</v>
      </c>
      <c r="R943" t="s">
        <v>8318</v>
      </c>
      <c r="S943" s="14">
        <f t="shared" si="86"/>
        <v>42746.096585648149</v>
      </c>
      <c r="T943" s="14">
        <f t="shared" si="87"/>
        <v>42776.096585648149</v>
      </c>
      <c r="U943" s="64">
        <f t="shared" si="88"/>
        <v>30</v>
      </c>
      <c r="V943" s="13" t="str">
        <f t="shared" si="89"/>
        <v>underfunded</v>
      </c>
    </row>
    <row r="944" spans="1:22" ht="48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8316</v>
      </c>
      <c r="R944" t="s">
        <v>8318</v>
      </c>
      <c r="S944" s="14">
        <f t="shared" si="86"/>
        <v>42382.843287037031</v>
      </c>
      <c r="T944" s="14">
        <f t="shared" si="87"/>
        <v>42418.843287037031</v>
      </c>
      <c r="U944" s="64">
        <f t="shared" si="88"/>
        <v>36</v>
      </c>
      <c r="V944" s="13" t="str">
        <f t="shared" si="89"/>
        <v>underfunded</v>
      </c>
    </row>
    <row r="945" spans="1:22" ht="3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8316</v>
      </c>
      <c r="R945" t="s">
        <v>8318</v>
      </c>
      <c r="S945" s="14">
        <f t="shared" si="86"/>
        <v>42673.66788194445</v>
      </c>
      <c r="T945" s="14">
        <f t="shared" si="87"/>
        <v>42703.709548611107</v>
      </c>
      <c r="U945" s="64">
        <f t="shared" si="88"/>
        <v>30.041666666656965</v>
      </c>
      <c r="V945" s="13" t="str">
        <f t="shared" si="89"/>
        <v>underfunded</v>
      </c>
    </row>
    <row r="946" spans="1:22" ht="48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8316</v>
      </c>
      <c r="R946" t="s">
        <v>8318</v>
      </c>
      <c r="S946" s="14">
        <f t="shared" si="86"/>
        <v>42444.583912037036</v>
      </c>
      <c r="T946" s="14">
        <f t="shared" si="87"/>
        <v>42478.583333333328</v>
      </c>
      <c r="U946" s="64">
        <f t="shared" si="88"/>
        <v>33.999421296291985</v>
      </c>
      <c r="V946" s="13" t="str">
        <f t="shared" si="89"/>
        <v>underfunded</v>
      </c>
    </row>
    <row r="947" spans="1:22" ht="48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8316</v>
      </c>
      <c r="R947" t="s">
        <v>8318</v>
      </c>
      <c r="S947" s="14">
        <f t="shared" si="86"/>
        <v>42732.872986111113</v>
      </c>
      <c r="T947" s="14">
        <f t="shared" si="87"/>
        <v>42784.999305555553</v>
      </c>
      <c r="U947" s="64">
        <f t="shared" si="88"/>
        <v>52.126319444440014</v>
      </c>
      <c r="V947" s="13" t="str">
        <f t="shared" si="89"/>
        <v>underfunded</v>
      </c>
    </row>
    <row r="948" spans="1:22" ht="3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8316</v>
      </c>
      <c r="R948" t="s">
        <v>8318</v>
      </c>
      <c r="S948" s="14">
        <f t="shared" si="86"/>
        <v>42592.750555555554</v>
      </c>
      <c r="T948" s="14">
        <f t="shared" si="87"/>
        <v>42622.750555555554</v>
      </c>
      <c r="U948" s="64">
        <f t="shared" si="88"/>
        <v>30</v>
      </c>
      <c r="V948" s="13" t="str">
        <f t="shared" si="89"/>
        <v>underfunded</v>
      </c>
    </row>
    <row r="949" spans="1:22" ht="48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0" t="s">
        <v>8316</v>
      </c>
      <c r="R949" t="s">
        <v>8318</v>
      </c>
      <c r="S949" s="14">
        <f t="shared" si="86"/>
        <v>42491.781319444446</v>
      </c>
      <c r="T949" s="14">
        <f t="shared" si="87"/>
        <v>42551.781319444446</v>
      </c>
      <c r="U949" s="64">
        <f t="shared" si="88"/>
        <v>60</v>
      </c>
      <c r="V949" s="13" t="str">
        <f t="shared" si="89"/>
        <v>underfunded</v>
      </c>
    </row>
    <row r="950" spans="1:22" ht="48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8316</v>
      </c>
      <c r="R950" t="s">
        <v>8318</v>
      </c>
      <c r="S950" s="14">
        <f t="shared" si="86"/>
        <v>42411.828287037039</v>
      </c>
      <c r="T950" s="14">
        <f t="shared" si="87"/>
        <v>42441.828287037039</v>
      </c>
      <c r="U950" s="64">
        <f t="shared" si="88"/>
        <v>30</v>
      </c>
      <c r="V950" s="13" t="str">
        <f t="shared" si="89"/>
        <v>underfunded</v>
      </c>
    </row>
    <row r="951" spans="1:22" ht="48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8316</v>
      </c>
      <c r="R951" t="s">
        <v>8318</v>
      </c>
      <c r="S951" s="14">
        <f t="shared" si="86"/>
        <v>42361.043703703705</v>
      </c>
      <c r="T951" s="14">
        <f t="shared" si="87"/>
        <v>42421.043703703705</v>
      </c>
      <c r="U951" s="64">
        <f t="shared" si="88"/>
        <v>60</v>
      </c>
      <c r="V951" s="13" t="str">
        <f t="shared" si="89"/>
        <v>underfunded</v>
      </c>
    </row>
    <row r="952" spans="1:22" ht="48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8316</v>
      </c>
      <c r="R952" t="s">
        <v>8318</v>
      </c>
      <c r="S952" s="14">
        <f t="shared" si="86"/>
        <v>42356.750706018516</v>
      </c>
      <c r="T952" s="14">
        <f t="shared" si="87"/>
        <v>42386.750706018516</v>
      </c>
      <c r="U952" s="64">
        <f t="shared" si="88"/>
        <v>30</v>
      </c>
      <c r="V952" s="13" t="str">
        <f t="shared" si="89"/>
        <v>underfunded</v>
      </c>
    </row>
    <row r="953" spans="1:22" ht="16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8316</v>
      </c>
      <c r="R953" t="s">
        <v>8318</v>
      </c>
      <c r="S953" s="14">
        <f t="shared" si="86"/>
        <v>42480.653611111105</v>
      </c>
      <c r="T953" s="14">
        <f t="shared" si="87"/>
        <v>42525.653611111105</v>
      </c>
      <c r="U953" s="64">
        <f t="shared" si="88"/>
        <v>45</v>
      </c>
      <c r="V953" s="13" t="str">
        <f t="shared" si="89"/>
        <v>underfunded</v>
      </c>
    </row>
    <row r="954" spans="1:22" ht="3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8316</v>
      </c>
      <c r="R954" t="s">
        <v>8318</v>
      </c>
      <c r="S954" s="14">
        <f t="shared" si="86"/>
        <v>42662.613564814819</v>
      </c>
      <c r="T954" s="14">
        <f t="shared" si="87"/>
        <v>42692.655231481483</v>
      </c>
      <c r="U954" s="64">
        <f t="shared" si="88"/>
        <v>30.041666666664241</v>
      </c>
      <c r="V954" s="13" t="str">
        <f t="shared" si="89"/>
        <v>underfunded</v>
      </c>
    </row>
    <row r="955" spans="1:22" ht="48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8316</v>
      </c>
      <c r="R955" t="s">
        <v>8318</v>
      </c>
      <c r="S955" s="14">
        <f t="shared" si="86"/>
        <v>41999.164340277777</v>
      </c>
      <c r="T955" s="14">
        <f t="shared" si="87"/>
        <v>42029.164340277777</v>
      </c>
      <c r="U955" s="64">
        <f t="shared" si="88"/>
        <v>30</v>
      </c>
      <c r="V955" s="13" t="str">
        <f t="shared" si="89"/>
        <v>underfunded</v>
      </c>
    </row>
    <row r="956" spans="1:22" ht="48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8316</v>
      </c>
      <c r="R956" t="s">
        <v>8318</v>
      </c>
      <c r="S956" s="14">
        <f t="shared" si="86"/>
        <v>42194.833784722221</v>
      </c>
      <c r="T956" s="14">
        <f t="shared" si="87"/>
        <v>42236.833784722221</v>
      </c>
      <c r="U956" s="64">
        <f t="shared" si="88"/>
        <v>42</v>
      </c>
      <c r="V956" s="13" t="str">
        <f t="shared" si="89"/>
        <v>underfunded</v>
      </c>
    </row>
    <row r="957" spans="1:22" ht="48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8316</v>
      </c>
      <c r="R957" t="s">
        <v>8318</v>
      </c>
      <c r="S957" s="14">
        <f t="shared" si="86"/>
        <v>42586.295138888891</v>
      </c>
      <c r="T957" s="14">
        <f t="shared" si="87"/>
        <v>42626.295138888891</v>
      </c>
      <c r="U957" s="64">
        <f t="shared" si="88"/>
        <v>40</v>
      </c>
      <c r="V957" s="13" t="str">
        <f t="shared" si="89"/>
        <v>underfunded</v>
      </c>
    </row>
    <row r="958" spans="1:22" ht="6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8316</v>
      </c>
      <c r="R958" t="s">
        <v>8318</v>
      </c>
      <c r="S958" s="14">
        <f t="shared" si="86"/>
        <v>42060.913877314815</v>
      </c>
      <c r="T958" s="14">
        <f t="shared" si="87"/>
        <v>42120.872210648144</v>
      </c>
      <c r="U958" s="64">
        <f t="shared" si="88"/>
        <v>59.958333333328483</v>
      </c>
      <c r="V958" s="13" t="str">
        <f t="shared" si="89"/>
        <v>underfunded</v>
      </c>
    </row>
    <row r="959" spans="1:22" ht="3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8316</v>
      </c>
      <c r="R959" t="s">
        <v>8318</v>
      </c>
      <c r="S959" s="14">
        <f t="shared" si="86"/>
        <v>42660.552465277782</v>
      </c>
      <c r="T959" s="14">
        <f t="shared" si="87"/>
        <v>42691.594131944439</v>
      </c>
      <c r="U959" s="64">
        <f t="shared" si="88"/>
        <v>31.041666666656965</v>
      </c>
      <c r="V959" s="13" t="str">
        <f t="shared" si="89"/>
        <v>underfunded</v>
      </c>
    </row>
    <row r="960" spans="1:22" ht="48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8316</v>
      </c>
      <c r="R960" t="s">
        <v>8318</v>
      </c>
      <c r="S960" s="14">
        <f t="shared" si="86"/>
        <v>42082.802812499998</v>
      </c>
      <c r="T960" s="14">
        <f t="shared" si="87"/>
        <v>42104.207638888889</v>
      </c>
      <c r="U960" s="64">
        <f t="shared" si="88"/>
        <v>21.404826388890797</v>
      </c>
      <c r="V960" s="13" t="str">
        <f t="shared" si="89"/>
        <v>underfunded</v>
      </c>
    </row>
    <row r="961" spans="1:22" ht="48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8316</v>
      </c>
      <c r="R961" t="s">
        <v>8318</v>
      </c>
      <c r="S961" s="14">
        <f t="shared" si="86"/>
        <v>41993.174363425926</v>
      </c>
      <c r="T961" s="14">
        <f t="shared" si="87"/>
        <v>42023.174363425926</v>
      </c>
      <c r="U961" s="64">
        <f t="shared" si="88"/>
        <v>30</v>
      </c>
      <c r="V961" s="13" t="str">
        <f t="shared" si="89"/>
        <v>underfunded</v>
      </c>
    </row>
    <row r="962" spans="1:22" ht="48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>
        <f t="shared" si="85"/>
        <v>136.46</v>
      </c>
      <c r="Q962" s="10" t="s">
        <v>8316</v>
      </c>
      <c r="R962" t="s">
        <v>8318</v>
      </c>
      <c r="S962" s="14">
        <f t="shared" si="86"/>
        <v>42766.626793981486</v>
      </c>
      <c r="T962" s="14">
        <f t="shared" si="87"/>
        <v>42808.585127314815</v>
      </c>
      <c r="U962" s="64">
        <f t="shared" si="88"/>
        <v>41.958333333328483</v>
      </c>
      <c r="V962" s="13" t="str">
        <f t="shared" si="89"/>
        <v>underfunded</v>
      </c>
    </row>
    <row r="963" spans="1:22" ht="48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ROUND(E963/D963*100,0)</f>
        <v>42</v>
      </c>
      <c r="P963">
        <f t="shared" ref="P963:P1026" si="91">IFERROR(ROUND(E963/L963,2), 0)</f>
        <v>364.35</v>
      </c>
      <c r="Q963" s="10" t="s">
        <v>8316</v>
      </c>
      <c r="R963" t="s">
        <v>8318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 s="64">
        <f t="shared" ref="U963:V1026" si="94">T963-S963</f>
        <v>46.097974537042319</v>
      </c>
      <c r="V963" s="13" t="str">
        <f t="shared" ref="V963:V1026" si="95">IF(E963&gt;=D963, "funded", "underfunded")</f>
        <v>underfunded</v>
      </c>
    </row>
    <row r="964" spans="1:22" ht="48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8316</v>
      </c>
      <c r="R964" t="s">
        <v>8318</v>
      </c>
      <c r="S964" s="14">
        <f t="shared" si="92"/>
        <v>42373.712418981479</v>
      </c>
      <c r="T964" s="14">
        <f t="shared" si="93"/>
        <v>42411.712418981479</v>
      </c>
      <c r="U964" s="64">
        <f t="shared" si="94"/>
        <v>38</v>
      </c>
      <c r="V964" s="13" t="str">
        <f t="shared" si="95"/>
        <v>underfunded</v>
      </c>
    </row>
    <row r="965" spans="1:22" ht="3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8316</v>
      </c>
      <c r="R965" t="s">
        <v>8318</v>
      </c>
      <c r="S965" s="14">
        <f t="shared" si="92"/>
        <v>42625.635636574079</v>
      </c>
      <c r="T965" s="14">
        <f t="shared" si="93"/>
        <v>42660.635636574079</v>
      </c>
      <c r="U965" s="64">
        <f t="shared" si="94"/>
        <v>35</v>
      </c>
      <c r="V965" s="13" t="str">
        <f t="shared" si="95"/>
        <v>underfunded</v>
      </c>
    </row>
    <row r="966" spans="1:22" ht="48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8316</v>
      </c>
      <c r="R966" t="s">
        <v>8318</v>
      </c>
      <c r="S966" s="14">
        <f t="shared" si="92"/>
        <v>42208.628692129627</v>
      </c>
      <c r="T966" s="14">
        <f t="shared" si="93"/>
        <v>42248.628692129627</v>
      </c>
      <c r="U966" s="64">
        <f t="shared" si="94"/>
        <v>40</v>
      </c>
      <c r="V966" s="13" t="str">
        <f t="shared" si="95"/>
        <v>underfunded</v>
      </c>
    </row>
    <row r="967" spans="1:22" ht="48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8316</v>
      </c>
      <c r="R967" t="s">
        <v>8318</v>
      </c>
      <c r="S967" s="14">
        <f t="shared" si="92"/>
        <v>42637.016736111109</v>
      </c>
      <c r="T967" s="14">
        <f t="shared" si="93"/>
        <v>42669.165972222225</v>
      </c>
      <c r="U967" s="64">
        <f t="shared" si="94"/>
        <v>32.149236111115897</v>
      </c>
      <c r="V967" s="13" t="str">
        <f t="shared" si="95"/>
        <v>underfunded</v>
      </c>
    </row>
    <row r="968" spans="1:22" ht="48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8316</v>
      </c>
      <c r="R968" t="s">
        <v>8318</v>
      </c>
      <c r="S968" s="14">
        <f t="shared" si="92"/>
        <v>42619.635787037041</v>
      </c>
      <c r="T968" s="14">
        <f t="shared" si="93"/>
        <v>42649.635787037041</v>
      </c>
      <c r="U968" s="64">
        <f t="shared" si="94"/>
        <v>30</v>
      </c>
      <c r="V968" s="13" t="str">
        <f t="shared" si="95"/>
        <v>underfunded</v>
      </c>
    </row>
    <row r="969" spans="1:22" ht="48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8316</v>
      </c>
      <c r="R969" t="s">
        <v>8318</v>
      </c>
      <c r="S969" s="14">
        <f t="shared" si="92"/>
        <v>42422.254328703704</v>
      </c>
      <c r="T969" s="14">
        <f t="shared" si="93"/>
        <v>42482.21266203704</v>
      </c>
      <c r="U969" s="64">
        <f t="shared" si="94"/>
        <v>59.958333333335759</v>
      </c>
      <c r="V969" s="13" t="str">
        <f t="shared" si="95"/>
        <v>underfunded</v>
      </c>
    </row>
    <row r="970" spans="1:22" ht="48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8316</v>
      </c>
      <c r="R970" t="s">
        <v>8318</v>
      </c>
      <c r="S970" s="14">
        <f t="shared" si="92"/>
        <v>41836.847615740742</v>
      </c>
      <c r="T970" s="14">
        <f t="shared" si="93"/>
        <v>41866.847615740742</v>
      </c>
      <c r="U970" s="64">
        <f t="shared" si="94"/>
        <v>30</v>
      </c>
      <c r="V970" s="13" t="str">
        <f t="shared" si="95"/>
        <v>underfunded</v>
      </c>
    </row>
    <row r="971" spans="1:22" ht="3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8316</v>
      </c>
      <c r="R971" t="s">
        <v>8318</v>
      </c>
      <c r="S971" s="14">
        <f t="shared" si="92"/>
        <v>42742.30332175926</v>
      </c>
      <c r="T971" s="14">
        <f t="shared" si="93"/>
        <v>42775.30332175926</v>
      </c>
      <c r="U971" s="64">
        <f t="shared" si="94"/>
        <v>33</v>
      </c>
      <c r="V971" s="13" t="str">
        <f t="shared" si="95"/>
        <v>underfunded</v>
      </c>
    </row>
    <row r="972" spans="1:22" ht="48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8316</v>
      </c>
      <c r="R972" t="s">
        <v>8318</v>
      </c>
      <c r="S972" s="14">
        <f t="shared" si="92"/>
        <v>42721.220520833333</v>
      </c>
      <c r="T972" s="14">
        <f t="shared" si="93"/>
        <v>42758.207638888889</v>
      </c>
      <c r="U972" s="64">
        <f t="shared" si="94"/>
        <v>36.987118055556493</v>
      </c>
      <c r="V972" s="13" t="str">
        <f t="shared" si="95"/>
        <v>underfunded</v>
      </c>
    </row>
    <row r="973" spans="1:22" ht="48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0" t="s">
        <v>8316</v>
      </c>
      <c r="R973" t="s">
        <v>8318</v>
      </c>
      <c r="S973" s="14">
        <f t="shared" si="92"/>
        <v>42111.709027777775</v>
      </c>
      <c r="T973" s="14">
        <f t="shared" si="93"/>
        <v>42156.709027777775</v>
      </c>
      <c r="U973" s="64">
        <f t="shared" si="94"/>
        <v>45</v>
      </c>
      <c r="V973" s="13" t="str">
        <f t="shared" si="95"/>
        <v>underfunded</v>
      </c>
    </row>
    <row r="974" spans="1:22" ht="48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8316</v>
      </c>
      <c r="R974" t="s">
        <v>8318</v>
      </c>
      <c r="S974" s="14">
        <f t="shared" si="92"/>
        <v>41856.865717592591</v>
      </c>
      <c r="T974" s="14">
        <f t="shared" si="93"/>
        <v>41886.290972222225</v>
      </c>
      <c r="U974" s="64">
        <f t="shared" si="94"/>
        <v>29.425254629633855</v>
      </c>
      <c r="V974" s="13" t="str">
        <f t="shared" si="95"/>
        <v>underfunded</v>
      </c>
    </row>
    <row r="975" spans="1:22" ht="48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8316</v>
      </c>
      <c r="R975" t="s">
        <v>8318</v>
      </c>
      <c r="S975" s="14">
        <f t="shared" si="92"/>
        <v>42257.014965277776</v>
      </c>
      <c r="T975" s="14">
        <f t="shared" si="93"/>
        <v>42317.056631944448</v>
      </c>
      <c r="U975" s="64">
        <f t="shared" si="94"/>
        <v>60.041666666671517</v>
      </c>
      <c r="V975" s="13" t="str">
        <f t="shared" si="95"/>
        <v>underfunded</v>
      </c>
    </row>
    <row r="976" spans="1:22" ht="48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8316</v>
      </c>
      <c r="R976" t="s">
        <v>8318</v>
      </c>
      <c r="S976" s="14">
        <f t="shared" si="92"/>
        <v>42424.749490740738</v>
      </c>
      <c r="T976" s="14">
        <f t="shared" si="93"/>
        <v>42454.707824074074</v>
      </c>
      <c r="U976" s="64">
        <f t="shared" si="94"/>
        <v>29.958333333335759</v>
      </c>
      <c r="V976" s="13" t="str">
        <f t="shared" si="95"/>
        <v>underfunded</v>
      </c>
    </row>
    <row r="977" spans="1:22" ht="48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8316</v>
      </c>
      <c r="R977" t="s">
        <v>8318</v>
      </c>
      <c r="S977" s="14">
        <f t="shared" si="92"/>
        <v>42489.696585648147</v>
      </c>
      <c r="T977" s="14">
        <f t="shared" si="93"/>
        <v>42549.696585648147</v>
      </c>
      <c r="U977" s="64">
        <f t="shared" si="94"/>
        <v>60</v>
      </c>
      <c r="V977" s="13" t="str">
        <f t="shared" si="95"/>
        <v>underfunded</v>
      </c>
    </row>
    <row r="978" spans="1:22" ht="48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8316</v>
      </c>
      <c r="R978" t="s">
        <v>8318</v>
      </c>
      <c r="S978" s="14">
        <f t="shared" si="92"/>
        <v>42185.058993055558</v>
      </c>
      <c r="T978" s="14">
        <f t="shared" si="93"/>
        <v>42230.058993055558</v>
      </c>
      <c r="U978" s="64">
        <f t="shared" si="94"/>
        <v>45</v>
      </c>
      <c r="V978" s="13" t="str">
        <f t="shared" si="95"/>
        <v>underfunded</v>
      </c>
    </row>
    <row r="979" spans="1:22" ht="48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8316</v>
      </c>
      <c r="R979" t="s">
        <v>8318</v>
      </c>
      <c r="S979" s="14">
        <f t="shared" si="92"/>
        <v>42391.942094907412</v>
      </c>
      <c r="T979" s="14">
        <f t="shared" si="93"/>
        <v>42421.942094907412</v>
      </c>
      <c r="U979" s="64">
        <f t="shared" si="94"/>
        <v>30</v>
      </c>
      <c r="V979" s="13" t="str">
        <f t="shared" si="95"/>
        <v>underfunded</v>
      </c>
    </row>
    <row r="980" spans="1:22" ht="48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8316</v>
      </c>
      <c r="R980" t="s">
        <v>8318</v>
      </c>
      <c r="S980" s="14">
        <f t="shared" si="92"/>
        <v>42395.309039351851</v>
      </c>
      <c r="T980" s="14">
        <f t="shared" si="93"/>
        <v>42425.309039351851</v>
      </c>
      <c r="U980" s="64">
        <f t="shared" si="94"/>
        <v>30</v>
      </c>
      <c r="V980" s="13" t="str">
        <f t="shared" si="95"/>
        <v>underfunded</v>
      </c>
    </row>
    <row r="981" spans="1:22" ht="48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8316</v>
      </c>
      <c r="R981" t="s">
        <v>8318</v>
      </c>
      <c r="S981" s="14">
        <f t="shared" si="92"/>
        <v>42506.416990740734</v>
      </c>
      <c r="T981" s="14">
        <f t="shared" si="93"/>
        <v>42541.790972222225</v>
      </c>
      <c r="U981" s="64">
        <f t="shared" si="94"/>
        <v>35.373981481490773</v>
      </c>
      <c r="V981" s="13" t="str">
        <f t="shared" si="95"/>
        <v>underfunded</v>
      </c>
    </row>
    <row r="982" spans="1:22" ht="48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8316</v>
      </c>
      <c r="R982" t="s">
        <v>8318</v>
      </c>
      <c r="S982" s="14">
        <f t="shared" si="92"/>
        <v>41928.904189814813</v>
      </c>
      <c r="T982" s="14">
        <f t="shared" si="93"/>
        <v>41973.945856481485</v>
      </c>
      <c r="U982" s="64">
        <f t="shared" si="94"/>
        <v>45.041666666671517</v>
      </c>
      <c r="V982" s="13" t="str">
        <f t="shared" si="95"/>
        <v>underfunded</v>
      </c>
    </row>
    <row r="983" spans="1:22" ht="48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0" t="s">
        <v>8316</v>
      </c>
      <c r="R983" t="s">
        <v>8318</v>
      </c>
      <c r="S983" s="14">
        <f t="shared" si="92"/>
        <v>41830.947013888886</v>
      </c>
      <c r="T983" s="14">
        <f t="shared" si="93"/>
        <v>41860.947013888886</v>
      </c>
      <c r="U983" s="64">
        <f t="shared" si="94"/>
        <v>30</v>
      </c>
      <c r="V983" s="13" t="str">
        <f t="shared" si="95"/>
        <v>underfunded</v>
      </c>
    </row>
    <row r="984" spans="1:22" ht="3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0" t="s">
        <v>8316</v>
      </c>
      <c r="R984" t="s">
        <v>8318</v>
      </c>
      <c r="S984" s="14">
        <f t="shared" si="92"/>
        <v>42615.753310185188</v>
      </c>
      <c r="T984" s="14">
        <f t="shared" si="93"/>
        <v>42645.753310185188</v>
      </c>
      <c r="U984" s="64">
        <f t="shared" si="94"/>
        <v>30</v>
      </c>
      <c r="V984" s="13" t="str">
        <f t="shared" si="95"/>
        <v>underfunded</v>
      </c>
    </row>
    <row r="985" spans="1:22" ht="48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8316</v>
      </c>
      <c r="R985" t="s">
        <v>8318</v>
      </c>
      <c r="S985" s="14">
        <f t="shared" si="92"/>
        <v>42574.667650462965</v>
      </c>
      <c r="T985" s="14">
        <f t="shared" si="93"/>
        <v>42605.870833333334</v>
      </c>
      <c r="U985" s="64">
        <f t="shared" si="94"/>
        <v>31.203182870369346</v>
      </c>
      <c r="V985" s="13" t="str">
        <f t="shared" si="95"/>
        <v>underfunded</v>
      </c>
    </row>
    <row r="986" spans="1:22" ht="8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8316</v>
      </c>
      <c r="R986" t="s">
        <v>8318</v>
      </c>
      <c r="S986" s="14">
        <f t="shared" si="92"/>
        <v>42061.11583333333</v>
      </c>
      <c r="T986" s="14">
        <f t="shared" si="93"/>
        <v>42091.074166666673</v>
      </c>
      <c r="U986" s="64">
        <f t="shared" si="94"/>
        <v>29.958333333343035</v>
      </c>
      <c r="V986" s="13" t="str">
        <f t="shared" si="95"/>
        <v>underfunded</v>
      </c>
    </row>
    <row r="987" spans="1:22" ht="48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8316</v>
      </c>
      <c r="R987" t="s">
        <v>8318</v>
      </c>
      <c r="S987" s="14">
        <f t="shared" si="92"/>
        <v>42339.967708333337</v>
      </c>
      <c r="T987" s="14">
        <f t="shared" si="93"/>
        <v>42369.958333333328</v>
      </c>
      <c r="U987" s="64">
        <f t="shared" si="94"/>
        <v>29.990624999991269</v>
      </c>
      <c r="V987" s="13" t="str">
        <f t="shared" si="95"/>
        <v>underfunded</v>
      </c>
    </row>
    <row r="988" spans="1:22" ht="48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8316</v>
      </c>
      <c r="R988" t="s">
        <v>8318</v>
      </c>
      <c r="S988" s="14">
        <f t="shared" si="92"/>
        <v>42324.767361111109</v>
      </c>
      <c r="T988" s="14">
        <f t="shared" si="93"/>
        <v>42379</v>
      </c>
      <c r="U988" s="64">
        <f t="shared" si="94"/>
        <v>54.232638888890506</v>
      </c>
      <c r="V988" s="13" t="str">
        <f t="shared" si="95"/>
        <v>underfunded</v>
      </c>
    </row>
    <row r="989" spans="1:22" ht="48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8316</v>
      </c>
      <c r="R989" t="s">
        <v>8318</v>
      </c>
      <c r="S989" s="14">
        <f t="shared" si="92"/>
        <v>41773.294560185182</v>
      </c>
      <c r="T989" s="14">
        <f t="shared" si="93"/>
        <v>41813.294560185182</v>
      </c>
      <c r="U989" s="64">
        <f t="shared" si="94"/>
        <v>40</v>
      </c>
      <c r="V989" s="13" t="str">
        <f t="shared" si="95"/>
        <v>underfunded</v>
      </c>
    </row>
    <row r="990" spans="1:22" ht="48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0" t="s">
        <v>8316</v>
      </c>
      <c r="R990" t="s">
        <v>8318</v>
      </c>
      <c r="S990" s="14">
        <f t="shared" si="92"/>
        <v>42614.356770833328</v>
      </c>
      <c r="T990" s="14">
        <f t="shared" si="93"/>
        <v>42644.356770833328</v>
      </c>
      <c r="U990" s="64">
        <f t="shared" si="94"/>
        <v>30</v>
      </c>
      <c r="V990" s="13" t="str">
        <f t="shared" si="95"/>
        <v>underfunded</v>
      </c>
    </row>
    <row r="991" spans="1:22" ht="16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8316</v>
      </c>
      <c r="R991" t="s">
        <v>8318</v>
      </c>
      <c r="S991" s="14">
        <f t="shared" si="92"/>
        <v>42611.933969907404</v>
      </c>
      <c r="T991" s="14">
        <f t="shared" si="93"/>
        <v>42641.933969907404</v>
      </c>
      <c r="U991" s="64">
        <f t="shared" si="94"/>
        <v>30</v>
      </c>
      <c r="V991" s="13" t="str">
        <f t="shared" si="95"/>
        <v>underfunded</v>
      </c>
    </row>
    <row r="992" spans="1:22" ht="48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0" t="s">
        <v>8316</v>
      </c>
      <c r="R992" t="s">
        <v>8318</v>
      </c>
      <c r="S992" s="14">
        <f t="shared" si="92"/>
        <v>41855.784305555557</v>
      </c>
      <c r="T992" s="14">
        <f t="shared" si="93"/>
        <v>41885.784305555557</v>
      </c>
      <c r="U992" s="64">
        <f t="shared" si="94"/>
        <v>30</v>
      </c>
      <c r="V992" s="13" t="str">
        <f t="shared" si="95"/>
        <v>underfunded</v>
      </c>
    </row>
    <row r="993" spans="1:22" ht="80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8316</v>
      </c>
      <c r="R993" t="s">
        <v>8318</v>
      </c>
      <c r="S993" s="14">
        <f t="shared" si="92"/>
        <v>42538.75680555556</v>
      </c>
      <c r="T993" s="14">
        <f t="shared" si="93"/>
        <v>42563.785416666666</v>
      </c>
      <c r="U993" s="64">
        <f t="shared" si="94"/>
        <v>25.02861111110542</v>
      </c>
      <c r="V993" s="13" t="str">
        <f t="shared" si="95"/>
        <v>underfunded</v>
      </c>
    </row>
    <row r="994" spans="1:22" ht="48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0" t="s">
        <v>8316</v>
      </c>
      <c r="R994" t="s">
        <v>8318</v>
      </c>
      <c r="S994" s="14">
        <f t="shared" si="92"/>
        <v>42437.924988425926</v>
      </c>
      <c r="T994" s="14">
        <f t="shared" si="93"/>
        <v>42497.883321759262</v>
      </c>
      <c r="U994" s="64">
        <f t="shared" si="94"/>
        <v>59.958333333335759</v>
      </c>
      <c r="V994" s="13" t="str">
        <f t="shared" si="95"/>
        <v>underfunded</v>
      </c>
    </row>
    <row r="995" spans="1:22" ht="48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8316</v>
      </c>
      <c r="R995" t="s">
        <v>8318</v>
      </c>
      <c r="S995" s="14">
        <f t="shared" si="92"/>
        <v>42652.964907407411</v>
      </c>
      <c r="T995" s="14">
        <f t="shared" si="93"/>
        <v>42686.208333333328</v>
      </c>
      <c r="U995" s="64">
        <f t="shared" si="94"/>
        <v>33.243425925917109</v>
      </c>
      <c r="V995" s="13" t="str">
        <f t="shared" si="95"/>
        <v>underfunded</v>
      </c>
    </row>
    <row r="996" spans="1:22" ht="6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8316</v>
      </c>
      <c r="R996" t="s">
        <v>8318</v>
      </c>
      <c r="S996" s="14">
        <f t="shared" si="92"/>
        <v>41921.263078703705</v>
      </c>
      <c r="T996" s="14">
        <f t="shared" si="93"/>
        <v>41973.957638888889</v>
      </c>
      <c r="U996" s="64">
        <f t="shared" si="94"/>
        <v>52.694560185183946</v>
      </c>
      <c r="V996" s="13" t="str">
        <f t="shared" si="95"/>
        <v>underfunded</v>
      </c>
    </row>
    <row r="997" spans="1:22" ht="48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8316</v>
      </c>
      <c r="R997" t="s">
        <v>8318</v>
      </c>
      <c r="S997" s="14">
        <f t="shared" si="92"/>
        <v>41947.940740740742</v>
      </c>
      <c r="T997" s="14">
        <f t="shared" si="93"/>
        <v>41972.666666666672</v>
      </c>
      <c r="U997" s="64">
        <f t="shared" si="94"/>
        <v>24.725925925929914</v>
      </c>
      <c r="V997" s="13" t="str">
        <f t="shared" si="95"/>
        <v>underfunded</v>
      </c>
    </row>
    <row r="998" spans="1:22" ht="3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8316</v>
      </c>
      <c r="R998" t="s">
        <v>8318</v>
      </c>
      <c r="S998" s="14">
        <f t="shared" si="92"/>
        <v>41817.866435185184</v>
      </c>
      <c r="T998" s="14">
        <f t="shared" si="93"/>
        <v>41847.643750000003</v>
      </c>
      <c r="U998" s="64">
        <f t="shared" si="94"/>
        <v>29.777314814818965</v>
      </c>
      <c r="V998" s="13" t="str">
        <f t="shared" si="95"/>
        <v>underfunded</v>
      </c>
    </row>
    <row r="999" spans="1:22" ht="3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8316</v>
      </c>
      <c r="R999" t="s">
        <v>8318</v>
      </c>
      <c r="S999" s="14">
        <f t="shared" si="92"/>
        <v>41941.10297453704</v>
      </c>
      <c r="T999" s="14">
        <f t="shared" si="93"/>
        <v>41971.144641203704</v>
      </c>
      <c r="U999" s="64">
        <f t="shared" si="94"/>
        <v>30.041666666664241</v>
      </c>
      <c r="V999" s="13" t="str">
        <f t="shared" si="95"/>
        <v>underfunded</v>
      </c>
    </row>
    <row r="1000" spans="1:22" ht="3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8316</v>
      </c>
      <c r="R1000" t="s">
        <v>8318</v>
      </c>
      <c r="S1000" s="14">
        <f t="shared" si="92"/>
        <v>42282.168993055559</v>
      </c>
      <c r="T1000" s="14">
        <f t="shared" si="93"/>
        <v>42327.210659722223</v>
      </c>
      <c r="U1000" s="64">
        <f t="shared" si="94"/>
        <v>45.041666666664241</v>
      </c>
      <c r="V1000" s="13" t="str">
        <f t="shared" si="95"/>
        <v>underfunded</v>
      </c>
    </row>
    <row r="1001" spans="1:22" ht="48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8316</v>
      </c>
      <c r="R1001" t="s">
        <v>8318</v>
      </c>
      <c r="S1001" s="14">
        <f t="shared" si="92"/>
        <v>41926.29965277778</v>
      </c>
      <c r="T1001" s="14">
        <f t="shared" si="93"/>
        <v>41956.334722222222</v>
      </c>
      <c r="U1001" s="64">
        <f t="shared" si="94"/>
        <v>30.035069444442343</v>
      </c>
      <c r="V1001" s="13" t="str">
        <f t="shared" si="95"/>
        <v>underfunded</v>
      </c>
    </row>
    <row r="1002" spans="1:22" ht="48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8316</v>
      </c>
      <c r="R1002" t="s">
        <v>8318</v>
      </c>
      <c r="S1002" s="14">
        <f t="shared" si="92"/>
        <v>42749.059722222228</v>
      </c>
      <c r="T1002" s="14">
        <f t="shared" si="93"/>
        <v>42809.018055555556</v>
      </c>
      <c r="U1002" s="64">
        <f t="shared" si="94"/>
        <v>59.958333333328483</v>
      </c>
      <c r="V1002" s="13" t="str">
        <f t="shared" si="95"/>
        <v>underfunded</v>
      </c>
    </row>
    <row r="1003" spans="1:22" ht="48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8316</v>
      </c>
      <c r="R1003" t="s">
        <v>8318</v>
      </c>
      <c r="S1003" s="14">
        <f t="shared" si="92"/>
        <v>42720.720057870371</v>
      </c>
      <c r="T1003" s="14">
        <f t="shared" si="93"/>
        <v>42765.720057870371</v>
      </c>
      <c r="U1003" s="64">
        <f t="shared" si="94"/>
        <v>45</v>
      </c>
      <c r="V1003" s="13" t="str">
        <f t="shared" si="95"/>
        <v>funded</v>
      </c>
    </row>
    <row r="1004" spans="1:22" ht="48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8316</v>
      </c>
      <c r="R1004" t="s">
        <v>8318</v>
      </c>
      <c r="S1004" s="14">
        <f t="shared" si="92"/>
        <v>42325.684189814812</v>
      </c>
      <c r="T1004" s="14">
        <f t="shared" si="93"/>
        <v>42355.249305555553</v>
      </c>
      <c r="U1004" s="64">
        <f t="shared" si="94"/>
        <v>29.565115740741021</v>
      </c>
      <c r="V1004" s="13" t="str">
        <f t="shared" si="95"/>
        <v>underfunded</v>
      </c>
    </row>
    <row r="1005" spans="1:22" ht="48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8316</v>
      </c>
      <c r="R1005" t="s">
        <v>8318</v>
      </c>
      <c r="S1005" s="14">
        <f t="shared" si="92"/>
        <v>42780.709039351852</v>
      </c>
      <c r="T1005" s="14">
        <f t="shared" si="93"/>
        <v>42810.667372685188</v>
      </c>
      <c r="U1005" s="64">
        <f t="shared" si="94"/>
        <v>29.958333333335759</v>
      </c>
      <c r="V1005" s="13" t="str">
        <f t="shared" si="95"/>
        <v>underfunded</v>
      </c>
    </row>
    <row r="1006" spans="1:22" ht="3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8316</v>
      </c>
      <c r="R1006" t="s">
        <v>8318</v>
      </c>
      <c r="S1006" s="14">
        <f t="shared" si="92"/>
        <v>42388.708645833336</v>
      </c>
      <c r="T1006" s="14">
        <f t="shared" si="93"/>
        <v>42418.708645833336</v>
      </c>
      <c r="U1006" s="64">
        <f t="shared" si="94"/>
        <v>30</v>
      </c>
      <c r="V1006" s="13" t="str">
        <f t="shared" si="95"/>
        <v>underfunded</v>
      </c>
    </row>
    <row r="1007" spans="1:22" ht="3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8316</v>
      </c>
      <c r="R1007" t="s">
        <v>8318</v>
      </c>
      <c r="S1007" s="14">
        <f t="shared" si="92"/>
        <v>42276.624803240738</v>
      </c>
      <c r="T1007" s="14">
        <f t="shared" si="93"/>
        <v>42307.624803240738</v>
      </c>
      <c r="U1007" s="64">
        <f t="shared" si="94"/>
        <v>31</v>
      </c>
      <c r="V1007" s="13" t="str">
        <f t="shared" si="95"/>
        <v>underfunded</v>
      </c>
    </row>
    <row r="1008" spans="1:22" ht="48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8316</v>
      </c>
      <c r="R1008" t="s">
        <v>8318</v>
      </c>
      <c r="S1008" s="14">
        <f t="shared" si="92"/>
        <v>41977.040185185186</v>
      </c>
      <c r="T1008" s="14">
        <f t="shared" si="93"/>
        <v>41985.299305555556</v>
      </c>
      <c r="U1008" s="64">
        <f t="shared" si="94"/>
        <v>8.2591203703705105</v>
      </c>
      <c r="V1008" s="13" t="str">
        <f t="shared" si="95"/>
        <v>underfunded</v>
      </c>
    </row>
    <row r="1009" spans="1:22" ht="48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8316</v>
      </c>
      <c r="R1009" t="s">
        <v>8318</v>
      </c>
      <c r="S1009" s="14">
        <f t="shared" si="92"/>
        <v>42676.583599537036</v>
      </c>
      <c r="T1009" s="14">
        <f t="shared" si="93"/>
        <v>42718.6252662037</v>
      </c>
      <c r="U1009" s="64">
        <f t="shared" si="94"/>
        <v>42.041666666664241</v>
      </c>
      <c r="V1009" s="13" t="str">
        <f t="shared" si="95"/>
        <v>underfunded</v>
      </c>
    </row>
    <row r="1010" spans="1:22" ht="48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0" t="s">
        <v>8316</v>
      </c>
      <c r="R1010" t="s">
        <v>8318</v>
      </c>
      <c r="S1010" s="14">
        <f t="shared" si="92"/>
        <v>42702.809201388889</v>
      </c>
      <c r="T1010" s="14">
        <f t="shared" si="93"/>
        <v>42732.809201388889</v>
      </c>
      <c r="U1010" s="64">
        <f t="shared" si="94"/>
        <v>30</v>
      </c>
      <c r="V1010" s="13" t="str">
        <f t="shared" si="95"/>
        <v>underfunded</v>
      </c>
    </row>
    <row r="1011" spans="1:22" ht="48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8316</v>
      </c>
      <c r="R1011" t="s">
        <v>8318</v>
      </c>
      <c r="S1011" s="14">
        <f t="shared" si="92"/>
        <v>42510.604699074072</v>
      </c>
      <c r="T1011" s="14">
        <f t="shared" si="93"/>
        <v>42540.604699074072</v>
      </c>
      <c r="U1011" s="64">
        <f t="shared" si="94"/>
        <v>30</v>
      </c>
      <c r="V1011" s="13" t="str">
        <f t="shared" si="95"/>
        <v>underfunded</v>
      </c>
    </row>
    <row r="1012" spans="1:22" ht="48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0" t="s">
        <v>8316</v>
      </c>
      <c r="R1012" t="s">
        <v>8318</v>
      </c>
      <c r="S1012" s="14">
        <f t="shared" si="92"/>
        <v>42561.829421296294</v>
      </c>
      <c r="T1012" s="14">
        <f t="shared" si="93"/>
        <v>42618.124305555553</v>
      </c>
      <c r="U1012" s="64">
        <f t="shared" si="94"/>
        <v>56.294884259259561</v>
      </c>
      <c r="V1012" s="13" t="str">
        <f t="shared" si="95"/>
        <v>underfunded</v>
      </c>
    </row>
    <row r="1013" spans="1:22" ht="48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0" t="s">
        <v>8316</v>
      </c>
      <c r="R1013" t="s">
        <v>8318</v>
      </c>
      <c r="S1013" s="14">
        <f t="shared" si="92"/>
        <v>41946.898090277777</v>
      </c>
      <c r="T1013" s="14">
        <f t="shared" si="93"/>
        <v>41991.898090277777</v>
      </c>
      <c r="U1013" s="64">
        <f t="shared" si="94"/>
        <v>45</v>
      </c>
      <c r="V1013" s="13" t="str">
        <f t="shared" si="95"/>
        <v>underfunded</v>
      </c>
    </row>
    <row r="1014" spans="1:22" ht="48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8316</v>
      </c>
      <c r="R1014" t="s">
        <v>8318</v>
      </c>
      <c r="S1014" s="14">
        <f t="shared" si="92"/>
        <v>42714.440416666665</v>
      </c>
      <c r="T1014" s="14">
        <f t="shared" si="93"/>
        <v>42759.440416666665</v>
      </c>
      <c r="U1014" s="64">
        <f t="shared" si="94"/>
        <v>45</v>
      </c>
      <c r="V1014" s="13" t="str">
        <f t="shared" si="95"/>
        <v>funded</v>
      </c>
    </row>
    <row r="1015" spans="1:22" ht="48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8316</v>
      </c>
      <c r="R1015" t="s">
        <v>8318</v>
      </c>
      <c r="S1015" s="14">
        <f t="shared" si="92"/>
        <v>42339.833981481483</v>
      </c>
      <c r="T1015" s="14">
        <f t="shared" si="93"/>
        <v>42367.833333333328</v>
      </c>
      <c r="U1015" s="64">
        <f t="shared" si="94"/>
        <v>27.999351851845859</v>
      </c>
      <c r="V1015" s="13" t="str">
        <f t="shared" si="95"/>
        <v>underfunded</v>
      </c>
    </row>
    <row r="1016" spans="1:22" ht="3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8316</v>
      </c>
      <c r="R1016" t="s">
        <v>8318</v>
      </c>
      <c r="S1016" s="14">
        <f t="shared" si="92"/>
        <v>41955.002488425926</v>
      </c>
      <c r="T1016" s="14">
        <f t="shared" si="93"/>
        <v>42005.002488425926</v>
      </c>
      <c r="U1016" s="64">
        <f t="shared" si="94"/>
        <v>50</v>
      </c>
      <c r="V1016" s="13" t="str">
        <f t="shared" si="95"/>
        <v>underfunded</v>
      </c>
    </row>
    <row r="1017" spans="1:22" ht="3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8316</v>
      </c>
      <c r="R1017" t="s">
        <v>8318</v>
      </c>
      <c r="S1017" s="14">
        <f t="shared" si="92"/>
        <v>42303.878414351857</v>
      </c>
      <c r="T1017" s="14">
        <f t="shared" si="93"/>
        <v>42333.920081018514</v>
      </c>
      <c r="U1017" s="64">
        <f t="shared" si="94"/>
        <v>30.041666666656965</v>
      </c>
      <c r="V1017" s="13" t="str">
        <f t="shared" si="95"/>
        <v>underfunded</v>
      </c>
    </row>
    <row r="1018" spans="1:22" ht="48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8316</v>
      </c>
      <c r="R1018" t="s">
        <v>8318</v>
      </c>
      <c r="S1018" s="14">
        <f t="shared" si="92"/>
        <v>42422.107129629629</v>
      </c>
      <c r="T1018" s="14">
        <f t="shared" si="93"/>
        <v>42467.065462962957</v>
      </c>
      <c r="U1018" s="64">
        <f t="shared" si="94"/>
        <v>44.958333333328483</v>
      </c>
      <c r="V1018" s="13" t="str">
        <f t="shared" si="95"/>
        <v>underfunded</v>
      </c>
    </row>
    <row r="1019" spans="1:22" ht="48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8316</v>
      </c>
      <c r="R1019" t="s">
        <v>8318</v>
      </c>
      <c r="S1019" s="14">
        <f t="shared" si="92"/>
        <v>42289.675173611111</v>
      </c>
      <c r="T1019" s="14">
        <f t="shared" si="93"/>
        <v>42329.716840277775</v>
      </c>
      <c r="U1019" s="64">
        <f t="shared" si="94"/>
        <v>40.041666666664241</v>
      </c>
      <c r="V1019" s="13" t="str">
        <f t="shared" si="95"/>
        <v>underfunded</v>
      </c>
    </row>
    <row r="1020" spans="1:22" ht="48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8316</v>
      </c>
      <c r="R1020" t="s">
        <v>8318</v>
      </c>
      <c r="S1020" s="14">
        <f t="shared" si="92"/>
        <v>42535.492280092592</v>
      </c>
      <c r="T1020" s="14">
        <f t="shared" si="93"/>
        <v>42565.492280092592</v>
      </c>
      <c r="U1020" s="64">
        <f t="shared" si="94"/>
        <v>30</v>
      </c>
      <c r="V1020" s="13" t="str">
        <f t="shared" si="95"/>
        <v>underfunded</v>
      </c>
    </row>
    <row r="1021" spans="1:22" ht="3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8316</v>
      </c>
      <c r="R1021" t="s">
        <v>8318</v>
      </c>
      <c r="S1021" s="14">
        <f t="shared" si="92"/>
        <v>42009.973946759259</v>
      </c>
      <c r="T1021" s="14">
        <f t="shared" si="93"/>
        <v>42039.973946759259</v>
      </c>
      <c r="U1021" s="64">
        <f t="shared" si="94"/>
        <v>30</v>
      </c>
      <c r="V1021" s="13" t="str">
        <f t="shared" si="95"/>
        <v>underfunded</v>
      </c>
    </row>
    <row r="1022" spans="1:22" ht="48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8322</v>
      </c>
      <c r="R1022" t="s">
        <v>8327</v>
      </c>
      <c r="S1022" s="14">
        <f t="shared" si="92"/>
        <v>42127.069548611107</v>
      </c>
      <c r="T1022" s="14">
        <f t="shared" si="93"/>
        <v>42157.032638888893</v>
      </c>
      <c r="U1022" s="64">
        <f t="shared" si="94"/>
        <v>29.96309027778625</v>
      </c>
      <c r="V1022" s="13" t="str">
        <f t="shared" si="95"/>
        <v>funded</v>
      </c>
    </row>
    <row r="1023" spans="1:22" ht="48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8322</v>
      </c>
      <c r="R1023" t="s">
        <v>8327</v>
      </c>
      <c r="S1023" s="14">
        <f t="shared" si="92"/>
        <v>42271.251979166671</v>
      </c>
      <c r="T1023" s="14">
        <f t="shared" si="93"/>
        <v>42294.166666666672</v>
      </c>
      <c r="U1023" s="64">
        <f t="shared" si="94"/>
        <v>22.914687500000582</v>
      </c>
      <c r="V1023" s="13" t="str">
        <f t="shared" si="95"/>
        <v>funded</v>
      </c>
    </row>
    <row r="1024" spans="1:22" ht="3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8322</v>
      </c>
      <c r="R1024" t="s">
        <v>8327</v>
      </c>
      <c r="S1024" s="14">
        <f t="shared" si="92"/>
        <v>42111.646724537044</v>
      </c>
      <c r="T1024" s="14">
        <f t="shared" si="93"/>
        <v>42141.646724537044</v>
      </c>
      <c r="U1024" s="64">
        <f t="shared" si="94"/>
        <v>30</v>
      </c>
      <c r="V1024" s="13" t="str">
        <f t="shared" si="95"/>
        <v>funded</v>
      </c>
    </row>
    <row r="1025" spans="1:22" ht="48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8322</v>
      </c>
      <c r="R1025" t="s">
        <v>8327</v>
      </c>
      <c r="S1025" s="14">
        <f t="shared" si="92"/>
        <v>42145.919687500005</v>
      </c>
      <c r="T1025" s="14">
        <f t="shared" si="93"/>
        <v>42175.919687500005</v>
      </c>
      <c r="U1025" s="64">
        <f t="shared" si="94"/>
        <v>30</v>
      </c>
      <c r="V1025" s="13" t="str">
        <f t="shared" si="95"/>
        <v>funded</v>
      </c>
    </row>
    <row r="1026" spans="1:22" ht="48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>
        <f t="shared" si="91"/>
        <v>388.98</v>
      </c>
      <c r="Q1026" s="10" t="s">
        <v>8322</v>
      </c>
      <c r="R1026" t="s">
        <v>8327</v>
      </c>
      <c r="S1026" s="14">
        <f t="shared" si="92"/>
        <v>42370.580590277779</v>
      </c>
      <c r="T1026" s="14">
        <f t="shared" si="93"/>
        <v>42400.580590277779</v>
      </c>
      <c r="U1026" s="64">
        <f t="shared" si="94"/>
        <v>30</v>
      </c>
      <c r="V1026" s="13" t="str">
        <f t="shared" si="95"/>
        <v>funded</v>
      </c>
    </row>
    <row r="1027" spans="1:22" ht="3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ROUND(E1027/D1027*100,0)</f>
        <v>110</v>
      </c>
      <c r="P1027">
        <f t="shared" ref="P1027:P1090" si="97">IFERROR(ROUND(E1027/L1027,2), 0)</f>
        <v>71.849999999999994</v>
      </c>
      <c r="Q1027" s="10" t="s">
        <v>8322</v>
      </c>
      <c r="R1027" t="s">
        <v>8327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 s="64">
        <f t="shared" ref="U1027:V1090" si="100">T1027-S1027</f>
        <v>29.958333333328483</v>
      </c>
      <c r="V1027" s="13" t="str">
        <f t="shared" ref="V1027:V1090" si="101">IF(E1027&gt;=D1027, "funded", "underfunded")</f>
        <v>funded</v>
      </c>
    </row>
    <row r="1028" spans="1:22" ht="48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8322</v>
      </c>
      <c r="R1028" t="s">
        <v>8327</v>
      </c>
      <c r="S1028" s="14">
        <f t="shared" si="98"/>
        <v>42426.407592592594</v>
      </c>
      <c r="T1028" s="14">
        <f t="shared" si="99"/>
        <v>42460.365925925929</v>
      </c>
      <c r="U1028" s="64">
        <f t="shared" si="100"/>
        <v>33.958333333335759</v>
      </c>
      <c r="V1028" s="13" t="str">
        <f t="shared" si="101"/>
        <v>funded</v>
      </c>
    </row>
    <row r="1029" spans="1:22" ht="48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8322</v>
      </c>
      <c r="R1029" t="s">
        <v>8327</v>
      </c>
      <c r="S1029" s="14">
        <f t="shared" si="98"/>
        <v>41905.034108796295</v>
      </c>
      <c r="T1029" s="14">
        <f t="shared" si="99"/>
        <v>41935.034108796295</v>
      </c>
      <c r="U1029" s="64">
        <f t="shared" si="100"/>
        <v>30</v>
      </c>
      <c r="V1029" s="13" t="str">
        <f t="shared" si="101"/>
        <v>funded</v>
      </c>
    </row>
    <row r="1030" spans="1:22" ht="48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8322</v>
      </c>
      <c r="R1030" t="s">
        <v>8327</v>
      </c>
      <c r="S1030" s="14">
        <f t="shared" si="98"/>
        <v>42755.627372685187</v>
      </c>
      <c r="T1030" s="14">
        <f t="shared" si="99"/>
        <v>42800.833333333328</v>
      </c>
      <c r="U1030" s="64">
        <f t="shared" si="100"/>
        <v>45.205960648141627</v>
      </c>
      <c r="V1030" s="13" t="str">
        <f t="shared" si="101"/>
        <v>funded</v>
      </c>
    </row>
    <row r="1031" spans="1:22" ht="3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8322</v>
      </c>
      <c r="R1031" t="s">
        <v>8327</v>
      </c>
      <c r="S1031" s="14">
        <f t="shared" si="98"/>
        <v>42044.711886574078</v>
      </c>
      <c r="T1031" s="14">
        <f t="shared" si="99"/>
        <v>42098.915972222225</v>
      </c>
      <c r="U1031" s="64">
        <f t="shared" si="100"/>
        <v>54.204085648147156</v>
      </c>
      <c r="V1031" s="13" t="str">
        <f t="shared" si="101"/>
        <v>funded</v>
      </c>
    </row>
    <row r="1032" spans="1:22" ht="3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8322</v>
      </c>
      <c r="R1032" t="s">
        <v>8327</v>
      </c>
      <c r="S1032" s="14">
        <f t="shared" si="98"/>
        <v>42611.483206018514</v>
      </c>
      <c r="T1032" s="14">
        <f t="shared" si="99"/>
        <v>42625.483206018514</v>
      </c>
      <c r="U1032" s="64">
        <f t="shared" si="100"/>
        <v>14</v>
      </c>
      <c r="V1032" s="13" t="str">
        <f t="shared" si="101"/>
        <v>funded</v>
      </c>
    </row>
    <row r="1033" spans="1:22" ht="48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8322</v>
      </c>
      <c r="R1033" t="s">
        <v>8327</v>
      </c>
      <c r="S1033" s="14">
        <f t="shared" si="98"/>
        <v>42324.764004629629</v>
      </c>
      <c r="T1033" s="14">
        <f t="shared" si="99"/>
        <v>42354.764004629629</v>
      </c>
      <c r="U1033" s="64">
        <f t="shared" si="100"/>
        <v>30</v>
      </c>
      <c r="V1033" s="13" t="str">
        <f t="shared" si="101"/>
        <v>funded</v>
      </c>
    </row>
    <row r="1034" spans="1:22" ht="16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8322</v>
      </c>
      <c r="R1034" t="s">
        <v>8327</v>
      </c>
      <c r="S1034" s="14">
        <f t="shared" si="98"/>
        <v>42514.666956018518</v>
      </c>
      <c r="T1034" s="14">
        <f t="shared" si="99"/>
        <v>42544.666956018518</v>
      </c>
      <c r="U1034" s="64">
        <f t="shared" si="100"/>
        <v>30</v>
      </c>
      <c r="V1034" s="13" t="str">
        <f t="shared" si="101"/>
        <v>funded</v>
      </c>
    </row>
    <row r="1035" spans="1:22" ht="48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8322</v>
      </c>
      <c r="R1035" t="s">
        <v>8327</v>
      </c>
      <c r="S1035" s="14">
        <f t="shared" si="98"/>
        <v>42688.732407407413</v>
      </c>
      <c r="T1035" s="14">
        <f t="shared" si="99"/>
        <v>42716.732407407413</v>
      </c>
      <c r="U1035" s="64">
        <f t="shared" si="100"/>
        <v>28</v>
      </c>
      <c r="V1035" s="13" t="str">
        <f t="shared" si="101"/>
        <v>funded</v>
      </c>
    </row>
    <row r="1036" spans="1:22" ht="48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8322</v>
      </c>
      <c r="R1036" t="s">
        <v>8327</v>
      </c>
      <c r="S1036" s="14">
        <f t="shared" si="98"/>
        <v>42555.166712962964</v>
      </c>
      <c r="T1036" s="14">
        <f t="shared" si="99"/>
        <v>42587.165972222225</v>
      </c>
      <c r="U1036" s="64">
        <f t="shared" si="100"/>
        <v>31.999259259260725</v>
      </c>
      <c r="V1036" s="13" t="str">
        <f t="shared" si="101"/>
        <v>funded</v>
      </c>
    </row>
    <row r="1037" spans="1:22" ht="48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8322</v>
      </c>
      <c r="R1037" t="s">
        <v>8327</v>
      </c>
      <c r="S1037" s="14">
        <f t="shared" si="98"/>
        <v>42016.641435185185</v>
      </c>
      <c r="T1037" s="14">
        <f t="shared" si="99"/>
        <v>42046.641435185185</v>
      </c>
      <c r="U1037" s="64">
        <f t="shared" si="100"/>
        <v>30</v>
      </c>
      <c r="V1037" s="13" t="str">
        <f t="shared" si="101"/>
        <v>funded</v>
      </c>
    </row>
    <row r="1038" spans="1:22" ht="48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8322</v>
      </c>
      <c r="R1038" t="s">
        <v>8327</v>
      </c>
      <c r="S1038" s="14">
        <f t="shared" si="98"/>
        <v>41249.448958333334</v>
      </c>
      <c r="T1038" s="14">
        <f t="shared" si="99"/>
        <v>41281.333333333336</v>
      </c>
      <c r="U1038" s="64">
        <f t="shared" si="100"/>
        <v>31.884375000001455</v>
      </c>
      <c r="V1038" s="13" t="str">
        <f t="shared" si="101"/>
        <v>funded</v>
      </c>
    </row>
    <row r="1039" spans="1:22" ht="48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8322</v>
      </c>
      <c r="R1039" t="s">
        <v>8327</v>
      </c>
      <c r="S1039" s="14">
        <f t="shared" si="98"/>
        <v>42119.822476851856</v>
      </c>
      <c r="T1039" s="14">
        <f t="shared" si="99"/>
        <v>42142.208333333328</v>
      </c>
      <c r="U1039" s="64">
        <f t="shared" si="100"/>
        <v>22.385856481472729</v>
      </c>
      <c r="V1039" s="13" t="str">
        <f t="shared" si="101"/>
        <v>funded</v>
      </c>
    </row>
    <row r="1040" spans="1:22" ht="48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8322</v>
      </c>
      <c r="R1040" t="s">
        <v>8327</v>
      </c>
      <c r="S1040" s="14">
        <f t="shared" si="98"/>
        <v>42418.231747685189</v>
      </c>
      <c r="T1040" s="14">
        <f t="shared" si="99"/>
        <v>42448.190081018518</v>
      </c>
      <c r="U1040" s="64">
        <f t="shared" si="100"/>
        <v>29.958333333328483</v>
      </c>
      <c r="V1040" s="13" t="str">
        <f t="shared" si="101"/>
        <v>funded</v>
      </c>
    </row>
    <row r="1041" spans="1:22" ht="48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8322</v>
      </c>
      <c r="R1041" t="s">
        <v>8327</v>
      </c>
      <c r="S1041" s="14">
        <f t="shared" si="98"/>
        <v>42692.109328703707</v>
      </c>
      <c r="T1041" s="14">
        <f t="shared" si="99"/>
        <v>42717.332638888889</v>
      </c>
      <c r="U1041" s="64">
        <f t="shared" si="100"/>
        <v>25.223310185181617</v>
      </c>
      <c r="V1041" s="13" t="str">
        <f t="shared" si="101"/>
        <v>funded</v>
      </c>
    </row>
    <row r="1042" spans="1:22" ht="48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0" t="s">
        <v>8328</v>
      </c>
      <c r="R1042" t="s">
        <v>8329</v>
      </c>
      <c r="S1042" s="14">
        <f t="shared" si="98"/>
        <v>42579.708437499998</v>
      </c>
      <c r="T1042" s="14">
        <f t="shared" si="99"/>
        <v>42609.708437499998</v>
      </c>
      <c r="U1042" s="64">
        <f t="shared" si="100"/>
        <v>30</v>
      </c>
      <c r="V1042" s="13" t="str">
        <f t="shared" si="101"/>
        <v>underfunded</v>
      </c>
    </row>
    <row r="1043" spans="1:22" ht="48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0" t="s">
        <v>8328</v>
      </c>
      <c r="R1043" t="s">
        <v>8329</v>
      </c>
      <c r="S1043" s="14">
        <f t="shared" si="98"/>
        <v>41831.060092592597</v>
      </c>
      <c r="T1043" s="14">
        <f t="shared" si="99"/>
        <v>41851.060092592597</v>
      </c>
      <c r="U1043" s="64">
        <f t="shared" si="100"/>
        <v>20</v>
      </c>
      <c r="V1043" s="13" t="str">
        <f t="shared" si="101"/>
        <v>underfunded</v>
      </c>
    </row>
    <row r="1044" spans="1:22" ht="48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8328</v>
      </c>
      <c r="R1044" t="s">
        <v>8329</v>
      </c>
      <c r="S1044" s="14">
        <f t="shared" si="98"/>
        <v>41851.696157407408</v>
      </c>
      <c r="T1044" s="14">
        <f t="shared" si="99"/>
        <v>41894.416666666664</v>
      </c>
      <c r="U1044" s="64">
        <f t="shared" si="100"/>
        <v>42.720509259255778</v>
      </c>
      <c r="V1044" s="13" t="str">
        <f t="shared" si="101"/>
        <v>underfunded</v>
      </c>
    </row>
    <row r="1045" spans="1:22" ht="48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8328</v>
      </c>
      <c r="R1045" t="s">
        <v>8329</v>
      </c>
      <c r="S1045" s="14">
        <f t="shared" si="98"/>
        <v>42114.252951388888</v>
      </c>
      <c r="T1045" s="14">
        <f t="shared" si="99"/>
        <v>42144.252951388888</v>
      </c>
      <c r="U1045" s="64">
        <f t="shared" si="100"/>
        <v>30</v>
      </c>
      <c r="V1045" s="13" t="str">
        <f t="shared" si="101"/>
        <v>underfunded</v>
      </c>
    </row>
    <row r="1046" spans="1:22" ht="48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0" t="s">
        <v>8328</v>
      </c>
      <c r="R1046" t="s">
        <v>8329</v>
      </c>
      <c r="S1046" s="14">
        <f t="shared" si="98"/>
        <v>42011.925937499997</v>
      </c>
      <c r="T1046" s="14">
        <f t="shared" si="99"/>
        <v>42068.852083333331</v>
      </c>
      <c r="U1046" s="64">
        <f t="shared" si="100"/>
        <v>56.926145833334886</v>
      </c>
      <c r="V1046" s="13" t="str">
        <f t="shared" si="101"/>
        <v>underfunded</v>
      </c>
    </row>
    <row r="1047" spans="1:22" ht="48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8328</v>
      </c>
      <c r="R1047" t="s">
        <v>8329</v>
      </c>
      <c r="S1047" s="14">
        <f t="shared" si="98"/>
        <v>41844.874421296299</v>
      </c>
      <c r="T1047" s="14">
        <f t="shared" si="99"/>
        <v>41874.874421296299</v>
      </c>
      <c r="U1047" s="64">
        <f t="shared" si="100"/>
        <v>30</v>
      </c>
      <c r="V1047" s="13" t="str">
        <f t="shared" si="101"/>
        <v>underfunded</v>
      </c>
    </row>
    <row r="1048" spans="1:22" ht="48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0" t="s">
        <v>8328</v>
      </c>
      <c r="R1048" t="s">
        <v>8329</v>
      </c>
      <c r="S1048" s="14">
        <f t="shared" si="98"/>
        <v>42319.851388888885</v>
      </c>
      <c r="T1048" s="14">
        <f t="shared" si="99"/>
        <v>42364.851388888885</v>
      </c>
      <c r="U1048" s="64">
        <f t="shared" si="100"/>
        <v>45</v>
      </c>
      <c r="V1048" s="13" t="str">
        <f t="shared" si="101"/>
        <v>underfunded</v>
      </c>
    </row>
    <row r="1049" spans="1:22" ht="48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0" t="s">
        <v>8328</v>
      </c>
      <c r="R1049" t="s">
        <v>8329</v>
      </c>
      <c r="S1049" s="14">
        <f t="shared" si="98"/>
        <v>41918.818460648145</v>
      </c>
      <c r="T1049" s="14">
        <f t="shared" si="99"/>
        <v>41948.860127314816</v>
      </c>
      <c r="U1049" s="64">
        <f t="shared" si="100"/>
        <v>30.041666666671517</v>
      </c>
      <c r="V1049" s="13" t="str">
        <f t="shared" si="101"/>
        <v>underfunded</v>
      </c>
    </row>
    <row r="1050" spans="1:22" ht="48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8328</v>
      </c>
      <c r="R1050" t="s">
        <v>8329</v>
      </c>
      <c r="S1050" s="14">
        <f t="shared" si="98"/>
        <v>42598.053113425922</v>
      </c>
      <c r="T1050" s="14">
        <f t="shared" si="99"/>
        <v>42638.053113425922</v>
      </c>
      <c r="U1050" s="64">
        <f t="shared" si="100"/>
        <v>40</v>
      </c>
      <c r="V1050" s="13" t="str">
        <f t="shared" si="101"/>
        <v>underfunded</v>
      </c>
    </row>
    <row r="1051" spans="1:22" ht="16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0" t="s">
        <v>8328</v>
      </c>
      <c r="R1051" t="s">
        <v>8329</v>
      </c>
      <c r="S1051" s="14">
        <f t="shared" si="98"/>
        <v>42382.431076388893</v>
      </c>
      <c r="T1051" s="14">
        <f t="shared" si="99"/>
        <v>42412.431076388893</v>
      </c>
      <c r="U1051" s="64">
        <f t="shared" si="100"/>
        <v>30</v>
      </c>
      <c r="V1051" s="13" t="str">
        <f t="shared" si="101"/>
        <v>underfunded</v>
      </c>
    </row>
    <row r="1052" spans="1:22" ht="16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0" t="s">
        <v>8328</v>
      </c>
      <c r="R1052" t="s">
        <v>8329</v>
      </c>
      <c r="S1052" s="14">
        <f t="shared" si="98"/>
        <v>42231.7971875</v>
      </c>
      <c r="T1052" s="14">
        <f t="shared" si="99"/>
        <v>42261.7971875</v>
      </c>
      <c r="U1052" s="64">
        <f t="shared" si="100"/>
        <v>30</v>
      </c>
      <c r="V1052" s="13" t="str">
        <f t="shared" si="101"/>
        <v>underfunded</v>
      </c>
    </row>
    <row r="1053" spans="1:22" ht="48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0" t="s">
        <v>8328</v>
      </c>
      <c r="R1053" t="s">
        <v>8329</v>
      </c>
      <c r="S1053" s="14">
        <f t="shared" si="98"/>
        <v>41850.014178240745</v>
      </c>
      <c r="T1053" s="14">
        <f t="shared" si="99"/>
        <v>41878.014178240745</v>
      </c>
      <c r="U1053" s="64">
        <f t="shared" si="100"/>
        <v>28</v>
      </c>
      <c r="V1053" s="13" t="str">
        <f t="shared" si="101"/>
        <v>underfunded</v>
      </c>
    </row>
    <row r="1054" spans="1:22" ht="6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0" t="s">
        <v>8328</v>
      </c>
      <c r="R1054" t="s">
        <v>8329</v>
      </c>
      <c r="S1054" s="14">
        <f t="shared" si="98"/>
        <v>42483.797395833331</v>
      </c>
      <c r="T1054" s="14">
        <f t="shared" si="99"/>
        <v>42527.839583333334</v>
      </c>
      <c r="U1054" s="64">
        <f t="shared" si="100"/>
        <v>44.04218750000291</v>
      </c>
      <c r="V1054" s="13" t="str">
        <f t="shared" si="101"/>
        <v>underfunded</v>
      </c>
    </row>
    <row r="1055" spans="1:22" ht="48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8328</v>
      </c>
      <c r="R1055" t="s">
        <v>8329</v>
      </c>
      <c r="S1055" s="14">
        <f t="shared" si="98"/>
        <v>42775.172824074078</v>
      </c>
      <c r="T1055" s="14">
        <f t="shared" si="99"/>
        <v>42800.172824074078</v>
      </c>
      <c r="U1055" s="64">
        <f t="shared" si="100"/>
        <v>25</v>
      </c>
      <c r="V1055" s="13" t="str">
        <f t="shared" si="101"/>
        <v>underfunded</v>
      </c>
    </row>
    <row r="1056" spans="1:22" ht="48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0" t="s">
        <v>8328</v>
      </c>
      <c r="R1056" t="s">
        <v>8329</v>
      </c>
      <c r="S1056" s="14">
        <f t="shared" si="98"/>
        <v>41831.851840277777</v>
      </c>
      <c r="T1056" s="14">
        <f t="shared" si="99"/>
        <v>41861.916666666664</v>
      </c>
      <c r="U1056" s="64">
        <f t="shared" si="100"/>
        <v>30.064826388887013</v>
      </c>
      <c r="V1056" s="13" t="str">
        <f t="shared" si="101"/>
        <v>underfunded</v>
      </c>
    </row>
    <row r="1057" spans="1:22" ht="48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0" t="s">
        <v>8328</v>
      </c>
      <c r="R1057" t="s">
        <v>8329</v>
      </c>
      <c r="S1057" s="14">
        <f t="shared" si="98"/>
        <v>42406.992418981477</v>
      </c>
      <c r="T1057" s="14">
        <f t="shared" si="99"/>
        <v>42436.992418981477</v>
      </c>
      <c r="U1057" s="64">
        <f t="shared" si="100"/>
        <v>30</v>
      </c>
      <c r="V1057" s="13" t="str">
        <f t="shared" si="101"/>
        <v>underfunded</v>
      </c>
    </row>
    <row r="1058" spans="1:22" ht="48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0" t="s">
        <v>8328</v>
      </c>
      <c r="R1058" t="s">
        <v>8329</v>
      </c>
      <c r="S1058" s="14">
        <f t="shared" si="98"/>
        <v>42058.719641203701</v>
      </c>
      <c r="T1058" s="14">
        <f t="shared" si="99"/>
        <v>42118.677974537044</v>
      </c>
      <c r="U1058" s="64">
        <f t="shared" si="100"/>
        <v>59.958333333343035</v>
      </c>
      <c r="V1058" s="13" t="str">
        <f t="shared" si="101"/>
        <v>underfunded</v>
      </c>
    </row>
    <row r="1059" spans="1:22" ht="3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0" t="s">
        <v>8328</v>
      </c>
      <c r="R1059" t="s">
        <v>8329</v>
      </c>
      <c r="S1059" s="14">
        <f t="shared" si="98"/>
        <v>42678.871331018512</v>
      </c>
      <c r="T1059" s="14">
        <f t="shared" si="99"/>
        <v>42708.912997685184</v>
      </c>
      <c r="U1059" s="64">
        <f t="shared" si="100"/>
        <v>30.041666666671517</v>
      </c>
      <c r="V1059" s="13" t="str">
        <f t="shared" si="101"/>
        <v>underfunded</v>
      </c>
    </row>
    <row r="1060" spans="1:22" ht="48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0" t="s">
        <v>8328</v>
      </c>
      <c r="R1060" t="s">
        <v>8329</v>
      </c>
      <c r="S1060" s="14">
        <f t="shared" si="98"/>
        <v>42047.900960648149</v>
      </c>
      <c r="T1060" s="14">
        <f t="shared" si="99"/>
        <v>42089</v>
      </c>
      <c r="U1060" s="64">
        <f t="shared" si="100"/>
        <v>41.099039351851388</v>
      </c>
      <c r="V1060" s="13" t="str">
        <f t="shared" si="101"/>
        <v>underfunded</v>
      </c>
    </row>
    <row r="1061" spans="1:22" ht="16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0" t="s">
        <v>8328</v>
      </c>
      <c r="R1061" t="s">
        <v>8329</v>
      </c>
      <c r="S1061" s="14">
        <f t="shared" si="98"/>
        <v>42046.79</v>
      </c>
      <c r="T1061" s="14">
        <f t="shared" si="99"/>
        <v>42076.748333333337</v>
      </c>
      <c r="U1061" s="64">
        <f t="shared" si="100"/>
        <v>29.958333333335759</v>
      </c>
      <c r="V1061" s="13" t="str">
        <f t="shared" si="101"/>
        <v>underfunded</v>
      </c>
    </row>
    <row r="1062" spans="1:22" ht="48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8328</v>
      </c>
      <c r="R1062" t="s">
        <v>8329</v>
      </c>
      <c r="S1062" s="14">
        <f t="shared" si="98"/>
        <v>42079.913113425922</v>
      </c>
      <c r="T1062" s="14">
        <f t="shared" si="99"/>
        <v>42109.913113425922</v>
      </c>
      <c r="U1062" s="64">
        <f t="shared" si="100"/>
        <v>30</v>
      </c>
      <c r="V1062" s="13" t="str">
        <f t="shared" si="101"/>
        <v>underfunded</v>
      </c>
    </row>
    <row r="1063" spans="1:22" ht="3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0" t="s">
        <v>8328</v>
      </c>
      <c r="R1063" t="s">
        <v>8329</v>
      </c>
      <c r="S1063" s="14">
        <f t="shared" si="98"/>
        <v>42432.276712962965</v>
      </c>
      <c r="T1063" s="14">
        <f t="shared" si="99"/>
        <v>42492.041666666672</v>
      </c>
      <c r="U1063" s="64">
        <f t="shared" si="100"/>
        <v>59.764953703706851</v>
      </c>
      <c r="V1063" s="13" t="str">
        <f t="shared" si="101"/>
        <v>underfunded</v>
      </c>
    </row>
    <row r="1064" spans="1:22" ht="16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8328</v>
      </c>
      <c r="R1064" t="s">
        <v>8329</v>
      </c>
      <c r="S1064" s="14">
        <f t="shared" si="98"/>
        <v>42556.807187500002</v>
      </c>
      <c r="T1064" s="14">
        <f t="shared" si="99"/>
        <v>42563.807187500002</v>
      </c>
      <c r="U1064" s="64">
        <f t="shared" si="100"/>
        <v>7</v>
      </c>
      <c r="V1064" s="13" t="str">
        <f t="shared" si="101"/>
        <v>underfunded</v>
      </c>
    </row>
    <row r="1065" spans="1:22" ht="48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0" t="s">
        <v>8328</v>
      </c>
      <c r="R1065" t="s">
        <v>8329</v>
      </c>
      <c r="S1065" s="14">
        <f t="shared" si="98"/>
        <v>42583.030810185184</v>
      </c>
      <c r="T1065" s="14">
        <f t="shared" si="99"/>
        <v>42613.030810185184</v>
      </c>
      <c r="U1065" s="64">
        <f t="shared" si="100"/>
        <v>30</v>
      </c>
      <c r="V1065" s="13" t="str">
        <f t="shared" si="101"/>
        <v>underfunded</v>
      </c>
    </row>
    <row r="1066" spans="1:22" ht="48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8330</v>
      </c>
      <c r="R1066" t="s">
        <v>8331</v>
      </c>
      <c r="S1066" s="14">
        <f t="shared" si="98"/>
        <v>41417.228043981479</v>
      </c>
      <c r="T1066" s="14">
        <f t="shared" si="99"/>
        <v>41462.228043981479</v>
      </c>
      <c r="U1066" s="64">
        <f t="shared" si="100"/>
        <v>45</v>
      </c>
      <c r="V1066" s="13" t="str">
        <f t="shared" si="101"/>
        <v>underfunded</v>
      </c>
    </row>
    <row r="1067" spans="1:22" ht="48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8330</v>
      </c>
      <c r="R1067" t="s">
        <v>8331</v>
      </c>
      <c r="S1067" s="14">
        <f t="shared" si="98"/>
        <v>41661.381041666667</v>
      </c>
      <c r="T1067" s="14">
        <f t="shared" si="99"/>
        <v>41689.381041666667</v>
      </c>
      <c r="U1067" s="64">
        <f t="shared" si="100"/>
        <v>28</v>
      </c>
      <c r="V1067" s="13" t="str">
        <f t="shared" si="101"/>
        <v>underfunded</v>
      </c>
    </row>
    <row r="1068" spans="1:22" ht="48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8330</v>
      </c>
      <c r="R1068" t="s">
        <v>8331</v>
      </c>
      <c r="S1068" s="14">
        <f t="shared" si="98"/>
        <v>41445.962754629632</v>
      </c>
      <c r="T1068" s="14">
        <f t="shared" si="99"/>
        <v>41490.962754629632</v>
      </c>
      <c r="U1068" s="64">
        <f t="shared" si="100"/>
        <v>45</v>
      </c>
      <c r="V1068" s="13" t="str">
        <f t="shared" si="101"/>
        <v>underfunded</v>
      </c>
    </row>
    <row r="1069" spans="1:22" ht="48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8330</v>
      </c>
      <c r="R1069" t="s">
        <v>8331</v>
      </c>
      <c r="S1069" s="14">
        <f t="shared" si="98"/>
        <v>41599.855682870373</v>
      </c>
      <c r="T1069" s="14">
        <f t="shared" si="99"/>
        <v>41629.855682870373</v>
      </c>
      <c r="U1069" s="64">
        <f t="shared" si="100"/>
        <v>30</v>
      </c>
      <c r="V1069" s="13" t="str">
        <f t="shared" si="101"/>
        <v>underfunded</v>
      </c>
    </row>
    <row r="1070" spans="1:22" ht="48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0" t="s">
        <v>8330</v>
      </c>
      <c r="R1070" t="s">
        <v>8331</v>
      </c>
      <c r="S1070" s="14">
        <f t="shared" si="98"/>
        <v>42440.371111111104</v>
      </c>
      <c r="T1070" s="14">
        <f t="shared" si="99"/>
        <v>42470.329444444447</v>
      </c>
      <c r="U1070" s="64">
        <f t="shared" si="100"/>
        <v>29.958333333343035</v>
      </c>
      <c r="V1070" s="13" t="str">
        <f t="shared" si="101"/>
        <v>underfunded</v>
      </c>
    </row>
    <row r="1071" spans="1:22" ht="48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8330</v>
      </c>
      <c r="R1071" t="s">
        <v>8331</v>
      </c>
      <c r="S1071" s="14">
        <f t="shared" si="98"/>
        <v>41572.229849537034</v>
      </c>
      <c r="T1071" s="14">
        <f t="shared" si="99"/>
        <v>41604.271516203706</v>
      </c>
      <c r="U1071" s="64">
        <f t="shared" si="100"/>
        <v>32.041666666671517</v>
      </c>
      <c r="V1071" s="13" t="str">
        <f t="shared" si="101"/>
        <v>underfunded</v>
      </c>
    </row>
    <row r="1072" spans="1:22" ht="48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8330</v>
      </c>
      <c r="R1072" t="s">
        <v>8331</v>
      </c>
      <c r="S1072" s="14">
        <f t="shared" si="98"/>
        <v>41163.011828703704</v>
      </c>
      <c r="T1072" s="14">
        <f t="shared" si="99"/>
        <v>41183.011828703704</v>
      </c>
      <c r="U1072" s="64">
        <f t="shared" si="100"/>
        <v>20</v>
      </c>
      <c r="V1072" s="13" t="str">
        <f t="shared" si="101"/>
        <v>underfunded</v>
      </c>
    </row>
    <row r="1073" spans="1:22" ht="48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0" t="s">
        <v>8330</v>
      </c>
      <c r="R1073" t="s">
        <v>8331</v>
      </c>
      <c r="S1073" s="14">
        <f t="shared" si="98"/>
        <v>42295.753391203703</v>
      </c>
      <c r="T1073" s="14">
        <f t="shared" si="99"/>
        <v>42325.795057870375</v>
      </c>
      <c r="U1073" s="64">
        <f t="shared" si="100"/>
        <v>30.041666666671517</v>
      </c>
      <c r="V1073" s="13" t="str">
        <f t="shared" si="101"/>
        <v>underfunded</v>
      </c>
    </row>
    <row r="1074" spans="1:22" ht="48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0" t="s">
        <v>8330</v>
      </c>
      <c r="R1074" t="s">
        <v>8331</v>
      </c>
      <c r="S1074" s="14">
        <f t="shared" si="98"/>
        <v>41645.832141203704</v>
      </c>
      <c r="T1074" s="14">
        <f t="shared" si="99"/>
        <v>41675.832141203704</v>
      </c>
      <c r="U1074" s="64">
        <f t="shared" si="100"/>
        <v>30</v>
      </c>
      <c r="V1074" s="13" t="str">
        <f t="shared" si="101"/>
        <v>underfunded</v>
      </c>
    </row>
    <row r="1075" spans="1:22" ht="3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8330</v>
      </c>
      <c r="R1075" t="s">
        <v>8331</v>
      </c>
      <c r="S1075" s="14">
        <f t="shared" si="98"/>
        <v>40802.964594907404</v>
      </c>
      <c r="T1075" s="14">
        <f t="shared" si="99"/>
        <v>40832.964594907404</v>
      </c>
      <c r="U1075" s="64">
        <f t="shared" si="100"/>
        <v>30</v>
      </c>
      <c r="V1075" s="13" t="str">
        <f t="shared" si="101"/>
        <v>underfunded</v>
      </c>
    </row>
    <row r="1076" spans="1:22" ht="48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8330</v>
      </c>
      <c r="R1076" t="s">
        <v>8331</v>
      </c>
      <c r="S1076" s="14">
        <f t="shared" si="98"/>
        <v>41613.172974537039</v>
      </c>
      <c r="T1076" s="14">
        <f t="shared" si="99"/>
        <v>41643.172974537039</v>
      </c>
      <c r="U1076" s="64">
        <f t="shared" si="100"/>
        <v>30</v>
      </c>
      <c r="V1076" s="13" t="str">
        <f t="shared" si="101"/>
        <v>underfunded</v>
      </c>
    </row>
    <row r="1077" spans="1:22" ht="3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8330</v>
      </c>
      <c r="R1077" t="s">
        <v>8331</v>
      </c>
      <c r="S1077" s="14">
        <f t="shared" si="98"/>
        <v>41005.904120370367</v>
      </c>
      <c r="T1077" s="14">
        <f t="shared" si="99"/>
        <v>41035.904120370367</v>
      </c>
      <c r="U1077" s="64">
        <f t="shared" si="100"/>
        <v>30</v>
      </c>
      <c r="V1077" s="13" t="str">
        <f t="shared" si="101"/>
        <v>underfunded</v>
      </c>
    </row>
    <row r="1078" spans="1:22" ht="48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8330</v>
      </c>
      <c r="R1078" t="s">
        <v>8331</v>
      </c>
      <c r="S1078" s="14">
        <f t="shared" si="98"/>
        <v>41838.377893518518</v>
      </c>
      <c r="T1078" s="14">
        <f t="shared" si="99"/>
        <v>41893.377893518518</v>
      </c>
      <c r="U1078" s="64">
        <f t="shared" si="100"/>
        <v>55</v>
      </c>
      <c r="V1078" s="13" t="str">
        <f t="shared" si="101"/>
        <v>underfunded</v>
      </c>
    </row>
    <row r="1079" spans="1:22" ht="48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8330</v>
      </c>
      <c r="R1079" t="s">
        <v>8331</v>
      </c>
      <c r="S1079" s="14">
        <f t="shared" si="98"/>
        <v>42353.16679398148</v>
      </c>
      <c r="T1079" s="14">
        <f t="shared" si="99"/>
        <v>42383.16679398148</v>
      </c>
      <c r="U1079" s="64">
        <f t="shared" si="100"/>
        <v>30</v>
      </c>
      <c r="V1079" s="13" t="str">
        <f t="shared" si="101"/>
        <v>underfunded</v>
      </c>
    </row>
    <row r="1080" spans="1:22" ht="48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8330</v>
      </c>
      <c r="R1080" t="s">
        <v>8331</v>
      </c>
      <c r="S1080" s="14">
        <f t="shared" si="98"/>
        <v>40701.195844907408</v>
      </c>
      <c r="T1080" s="14">
        <f t="shared" si="99"/>
        <v>40746.195844907408</v>
      </c>
      <c r="U1080" s="64">
        <f t="shared" si="100"/>
        <v>45</v>
      </c>
      <c r="V1080" s="13" t="str">
        <f t="shared" si="101"/>
        <v>underfunded</v>
      </c>
    </row>
    <row r="1081" spans="1:22" ht="48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8330</v>
      </c>
      <c r="R1081" t="s">
        <v>8331</v>
      </c>
      <c r="S1081" s="14">
        <f t="shared" si="98"/>
        <v>42479.566388888896</v>
      </c>
      <c r="T1081" s="14">
        <f t="shared" si="99"/>
        <v>42504.566388888896</v>
      </c>
      <c r="U1081" s="64">
        <f t="shared" si="100"/>
        <v>25</v>
      </c>
      <c r="V1081" s="13" t="str">
        <f t="shared" si="101"/>
        <v>underfunded</v>
      </c>
    </row>
    <row r="1082" spans="1:22" ht="48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8330</v>
      </c>
      <c r="R1082" t="s">
        <v>8331</v>
      </c>
      <c r="S1082" s="14">
        <f t="shared" si="98"/>
        <v>41740.138113425928</v>
      </c>
      <c r="T1082" s="14">
        <f t="shared" si="99"/>
        <v>41770.138113425928</v>
      </c>
      <c r="U1082" s="64">
        <f t="shared" si="100"/>
        <v>30</v>
      </c>
      <c r="V1082" s="13" t="str">
        <f t="shared" si="101"/>
        <v>underfunded</v>
      </c>
    </row>
    <row r="1083" spans="1:22" ht="48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0" t="s">
        <v>8330</v>
      </c>
      <c r="R1083" t="s">
        <v>8331</v>
      </c>
      <c r="S1083" s="14">
        <f t="shared" si="98"/>
        <v>42002.926990740743</v>
      </c>
      <c r="T1083" s="14">
        <f t="shared" si="99"/>
        <v>42032.926990740743</v>
      </c>
      <c r="U1083" s="64">
        <f t="shared" si="100"/>
        <v>30</v>
      </c>
      <c r="V1083" s="13" t="str">
        <f t="shared" si="101"/>
        <v>underfunded</v>
      </c>
    </row>
    <row r="1084" spans="1:22" ht="3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8330</v>
      </c>
      <c r="R1084" t="s">
        <v>8331</v>
      </c>
      <c r="S1084" s="14">
        <f t="shared" si="98"/>
        <v>41101.906111111115</v>
      </c>
      <c r="T1084" s="14">
        <f t="shared" si="99"/>
        <v>41131.906111111115</v>
      </c>
      <c r="U1084" s="64">
        <f t="shared" si="100"/>
        <v>30</v>
      </c>
      <c r="V1084" s="13" t="str">
        <f t="shared" si="101"/>
        <v>underfunded</v>
      </c>
    </row>
    <row r="1085" spans="1:22" ht="48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8330</v>
      </c>
      <c r="R1085" t="s">
        <v>8331</v>
      </c>
      <c r="S1085" s="14">
        <f t="shared" si="98"/>
        <v>41793.659525462965</v>
      </c>
      <c r="T1085" s="14">
        <f t="shared" si="99"/>
        <v>41853.659525462965</v>
      </c>
      <c r="U1085" s="64">
        <f t="shared" si="100"/>
        <v>60</v>
      </c>
      <c r="V1085" s="13" t="str">
        <f t="shared" si="101"/>
        <v>underfunded</v>
      </c>
    </row>
    <row r="1086" spans="1:22" ht="16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0" t="s">
        <v>8330</v>
      </c>
      <c r="R1086" t="s">
        <v>8331</v>
      </c>
      <c r="S1086" s="14">
        <f t="shared" si="98"/>
        <v>41829.912083333329</v>
      </c>
      <c r="T1086" s="14">
        <f t="shared" si="99"/>
        <v>41859.912083333329</v>
      </c>
      <c r="U1086" s="64">
        <f t="shared" si="100"/>
        <v>30</v>
      </c>
      <c r="V1086" s="13" t="str">
        <f t="shared" si="101"/>
        <v>underfunded</v>
      </c>
    </row>
    <row r="1087" spans="1:22" ht="3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8330</v>
      </c>
      <c r="R1087" t="s">
        <v>8331</v>
      </c>
      <c r="S1087" s="14">
        <f t="shared" si="98"/>
        <v>42413.671006944445</v>
      </c>
      <c r="T1087" s="14">
        <f t="shared" si="99"/>
        <v>42443.629340277781</v>
      </c>
      <c r="U1087" s="64">
        <f t="shared" si="100"/>
        <v>29.958333333335759</v>
      </c>
      <c r="V1087" s="13" t="str">
        <f t="shared" si="101"/>
        <v>underfunded</v>
      </c>
    </row>
    <row r="1088" spans="1:22" ht="16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0" t="s">
        <v>8330</v>
      </c>
      <c r="R1088" t="s">
        <v>8331</v>
      </c>
      <c r="S1088" s="14">
        <f t="shared" si="98"/>
        <v>41845.866793981484</v>
      </c>
      <c r="T1088" s="14">
        <f t="shared" si="99"/>
        <v>41875.866793981484</v>
      </c>
      <c r="U1088" s="64">
        <f t="shared" si="100"/>
        <v>30</v>
      </c>
      <c r="V1088" s="13" t="str">
        <f t="shared" si="101"/>
        <v>underfunded</v>
      </c>
    </row>
    <row r="1089" spans="1:22" ht="48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0" t="s">
        <v>8330</v>
      </c>
      <c r="R1089" t="s">
        <v>8331</v>
      </c>
      <c r="S1089" s="14">
        <f t="shared" si="98"/>
        <v>41775.713969907411</v>
      </c>
      <c r="T1089" s="14">
        <f t="shared" si="99"/>
        <v>41805.713969907411</v>
      </c>
      <c r="U1089" s="64">
        <f t="shared" si="100"/>
        <v>30</v>
      </c>
      <c r="V1089" s="13" t="str">
        <f t="shared" si="101"/>
        <v>underfunded</v>
      </c>
    </row>
    <row r="1090" spans="1:22" ht="3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>
        <f t="shared" si="97"/>
        <v>43.42</v>
      </c>
      <c r="Q1090" s="10" t="s">
        <v>8330</v>
      </c>
      <c r="R1090" t="s">
        <v>8331</v>
      </c>
      <c r="S1090" s="14">
        <f t="shared" si="98"/>
        <v>41723.799386574072</v>
      </c>
      <c r="T1090" s="14">
        <f t="shared" si="99"/>
        <v>41753.799386574072</v>
      </c>
      <c r="U1090" s="64">
        <f t="shared" si="100"/>
        <v>30</v>
      </c>
      <c r="V1090" s="13" t="str">
        <f t="shared" si="101"/>
        <v>underfunded</v>
      </c>
    </row>
    <row r="1091" spans="1:22" ht="3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ROUND(E1091/D1091*100,0)</f>
        <v>8</v>
      </c>
      <c r="P1091">
        <f t="shared" ref="P1091:P1154" si="103">IFERROR(ROUND(E1091/L1091,2), 0)</f>
        <v>23.96</v>
      </c>
      <c r="Q1091" s="10" t="s">
        <v>8330</v>
      </c>
      <c r="R1091" t="s">
        <v>8331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 s="64">
        <f t="shared" ref="U1091:V1154" si="106">T1091-S1091</f>
        <v>30</v>
      </c>
      <c r="V1091" s="13" t="str">
        <f t="shared" ref="V1091:V1154" si="107">IF(E1091&gt;=D1091, "funded", "underfunded")</f>
        <v>underfunded</v>
      </c>
    </row>
    <row r="1092" spans="1:22" ht="48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0" t="s">
        <v>8330</v>
      </c>
      <c r="R1092" t="s">
        <v>8331</v>
      </c>
      <c r="S1092" s="14">
        <f t="shared" si="104"/>
        <v>42123.185798611114</v>
      </c>
      <c r="T1092" s="14">
        <f t="shared" si="105"/>
        <v>42153.185798611114</v>
      </c>
      <c r="U1092" s="64">
        <f t="shared" si="106"/>
        <v>30</v>
      </c>
      <c r="V1092" s="13" t="str">
        <f t="shared" si="107"/>
        <v>underfunded</v>
      </c>
    </row>
    <row r="1093" spans="1:22" ht="48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8330</v>
      </c>
      <c r="R1093" t="s">
        <v>8331</v>
      </c>
      <c r="S1093" s="14">
        <f t="shared" si="104"/>
        <v>42440.820277777777</v>
      </c>
      <c r="T1093" s="14">
        <f t="shared" si="105"/>
        <v>42470.778611111105</v>
      </c>
      <c r="U1093" s="64">
        <f t="shared" si="106"/>
        <v>29.958333333328483</v>
      </c>
      <c r="V1093" s="13" t="str">
        <f t="shared" si="107"/>
        <v>underfunded</v>
      </c>
    </row>
    <row r="1094" spans="1:22" ht="48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8330</v>
      </c>
      <c r="R1094" t="s">
        <v>8331</v>
      </c>
      <c r="S1094" s="14">
        <f t="shared" si="104"/>
        <v>41250.025902777779</v>
      </c>
      <c r="T1094" s="14">
        <f t="shared" si="105"/>
        <v>41280.025902777779</v>
      </c>
      <c r="U1094" s="64">
        <f t="shared" si="106"/>
        <v>30</v>
      </c>
      <c r="V1094" s="13" t="str">
        <f t="shared" si="107"/>
        <v>underfunded</v>
      </c>
    </row>
    <row r="1095" spans="1:22" ht="48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8330</v>
      </c>
      <c r="R1095" t="s">
        <v>8331</v>
      </c>
      <c r="S1095" s="14">
        <f t="shared" si="104"/>
        <v>42396.973807870367</v>
      </c>
      <c r="T1095" s="14">
        <f t="shared" si="105"/>
        <v>42411.973807870367</v>
      </c>
      <c r="U1095" s="64">
        <f t="shared" si="106"/>
        <v>15</v>
      </c>
      <c r="V1095" s="13" t="str">
        <f t="shared" si="107"/>
        <v>underfunded</v>
      </c>
    </row>
    <row r="1096" spans="1:22" ht="48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8330</v>
      </c>
      <c r="R1096" t="s">
        <v>8331</v>
      </c>
      <c r="S1096" s="14">
        <f t="shared" si="104"/>
        <v>40795.713344907403</v>
      </c>
      <c r="T1096" s="14">
        <f t="shared" si="105"/>
        <v>40825.713344907403</v>
      </c>
      <c r="U1096" s="64">
        <f t="shared" si="106"/>
        <v>30</v>
      </c>
      <c r="V1096" s="13" t="str">
        <f t="shared" si="107"/>
        <v>underfunded</v>
      </c>
    </row>
    <row r="1097" spans="1:22" ht="48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8330</v>
      </c>
      <c r="R1097" t="s">
        <v>8331</v>
      </c>
      <c r="S1097" s="14">
        <f t="shared" si="104"/>
        <v>41486.537268518521</v>
      </c>
      <c r="T1097" s="14">
        <f t="shared" si="105"/>
        <v>41516.537268518521</v>
      </c>
      <c r="U1097" s="64">
        <f t="shared" si="106"/>
        <v>30</v>
      </c>
      <c r="V1097" s="13" t="str">
        <f t="shared" si="107"/>
        <v>underfunded</v>
      </c>
    </row>
    <row r="1098" spans="1:22" ht="48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8330</v>
      </c>
      <c r="R1098" t="s">
        <v>8331</v>
      </c>
      <c r="S1098" s="14">
        <f t="shared" si="104"/>
        <v>41885.51798611111</v>
      </c>
      <c r="T1098" s="14">
        <f t="shared" si="105"/>
        <v>41916.145833333336</v>
      </c>
      <c r="U1098" s="64">
        <f t="shared" si="106"/>
        <v>30.627847222225682</v>
      </c>
      <c r="V1098" s="13" t="str">
        <f t="shared" si="107"/>
        <v>underfunded</v>
      </c>
    </row>
    <row r="1099" spans="1:22" ht="48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0" t="s">
        <v>8330</v>
      </c>
      <c r="R1099" t="s">
        <v>8331</v>
      </c>
      <c r="S1099" s="14">
        <f t="shared" si="104"/>
        <v>41660.792557870373</v>
      </c>
      <c r="T1099" s="14">
        <f t="shared" si="105"/>
        <v>41700.792557870373</v>
      </c>
      <c r="U1099" s="64">
        <f t="shared" si="106"/>
        <v>40</v>
      </c>
      <c r="V1099" s="13" t="str">
        <f t="shared" si="107"/>
        <v>underfunded</v>
      </c>
    </row>
    <row r="1100" spans="1:22" ht="3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8330</v>
      </c>
      <c r="R1100" t="s">
        <v>8331</v>
      </c>
      <c r="S1100" s="14">
        <f t="shared" si="104"/>
        <v>41712.762673611112</v>
      </c>
      <c r="T1100" s="14">
        <f t="shared" si="105"/>
        <v>41742.762673611112</v>
      </c>
      <c r="U1100" s="64">
        <f t="shared" si="106"/>
        <v>30</v>
      </c>
      <c r="V1100" s="13" t="str">
        <f t="shared" si="107"/>
        <v>underfunded</v>
      </c>
    </row>
    <row r="1101" spans="1:22" ht="48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8330</v>
      </c>
      <c r="R1101" t="s">
        <v>8331</v>
      </c>
      <c r="S1101" s="14">
        <f t="shared" si="104"/>
        <v>42107.836435185185</v>
      </c>
      <c r="T1101" s="14">
        <f t="shared" si="105"/>
        <v>42137.836435185185</v>
      </c>
      <c r="U1101" s="64">
        <f t="shared" si="106"/>
        <v>30</v>
      </c>
      <c r="V1101" s="13" t="str">
        <f t="shared" si="107"/>
        <v>underfunded</v>
      </c>
    </row>
    <row r="1102" spans="1:22" ht="48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8330</v>
      </c>
      <c r="R1102" t="s">
        <v>8331</v>
      </c>
      <c r="S1102" s="14">
        <f t="shared" si="104"/>
        <v>42384.110775462963</v>
      </c>
      <c r="T1102" s="14">
        <f t="shared" si="105"/>
        <v>42414.110775462963</v>
      </c>
      <c r="U1102" s="64">
        <f t="shared" si="106"/>
        <v>30</v>
      </c>
      <c r="V1102" s="13" t="str">
        <f t="shared" si="107"/>
        <v>underfunded</v>
      </c>
    </row>
    <row r="1103" spans="1:22" ht="3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0" t="s">
        <v>8330</v>
      </c>
      <c r="R1103" t="s">
        <v>8331</v>
      </c>
      <c r="S1103" s="14">
        <f t="shared" si="104"/>
        <v>42538.77243055556</v>
      </c>
      <c r="T1103" s="14">
        <f t="shared" si="105"/>
        <v>42565.758333333331</v>
      </c>
      <c r="U1103" s="64">
        <f t="shared" si="106"/>
        <v>26.985902777771116</v>
      </c>
      <c r="V1103" s="13" t="str">
        <f t="shared" si="107"/>
        <v>underfunded</v>
      </c>
    </row>
    <row r="1104" spans="1:22" ht="48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8330</v>
      </c>
      <c r="R1104" t="s">
        <v>8331</v>
      </c>
      <c r="S1104" s="14">
        <f t="shared" si="104"/>
        <v>41577.045428240745</v>
      </c>
      <c r="T1104" s="14">
        <f t="shared" si="105"/>
        <v>41617.249305555553</v>
      </c>
      <c r="U1104" s="64">
        <f t="shared" si="106"/>
        <v>40.203877314808778</v>
      </c>
      <c r="V1104" s="13" t="str">
        <f t="shared" si="107"/>
        <v>underfunded</v>
      </c>
    </row>
    <row r="1105" spans="1:22" ht="48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8330</v>
      </c>
      <c r="R1105" t="s">
        <v>8331</v>
      </c>
      <c r="S1105" s="14">
        <f t="shared" si="104"/>
        <v>42479.22210648148</v>
      </c>
      <c r="T1105" s="14">
        <f t="shared" si="105"/>
        <v>42539.22210648148</v>
      </c>
      <c r="U1105" s="64">
        <f t="shared" si="106"/>
        <v>60</v>
      </c>
      <c r="V1105" s="13" t="str">
        <f t="shared" si="107"/>
        <v>underfunded</v>
      </c>
    </row>
    <row r="1106" spans="1:22" ht="48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8330</v>
      </c>
      <c r="R1106" t="s">
        <v>8331</v>
      </c>
      <c r="S1106" s="14">
        <f t="shared" si="104"/>
        <v>41771.40996527778</v>
      </c>
      <c r="T1106" s="14">
        <f t="shared" si="105"/>
        <v>41801.40996527778</v>
      </c>
      <c r="U1106" s="64">
        <f t="shared" si="106"/>
        <v>30</v>
      </c>
      <c r="V1106" s="13" t="str">
        <f t="shared" si="107"/>
        <v>underfunded</v>
      </c>
    </row>
    <row r="1107" spans="1:22" ht="48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0" t="s">
        <v>8330</v>
      </c>
      <c r="R1107" t="s">
        <v>8331</v>
      </c>
      <c r="S1107" s="14">
        <f t="shared" si="104"/>
        <v>41692.135729166665</v>
      </c>
      <c r="T1107" s="14">
        <f t="shared" si="105"/>
        <v>41722.0940625</v>
      </c>
      <c r="U1107" s="64">
        <f t="shared" si="106"/>
        <v>29.958333333335759</v>
      </c>
      <c r="V1107" s="13" t="str">
        <f t="shared" si="107"/>
        <v>underfunded</v>
      </c>
    </row>
    <row r="1108" spans="1:22" ht="48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8330</v>
      </c>
      <c r="R1108" t="s">
        <v>8331</v>
      </c>
      <c r="S1108" s="14">
        <f t="shared" si="104"/>
        <v>40973.740451388891</v>
      </c>
      <c r="T1108" s="14">
        <f t="shared" si="105"/>
        <v>41003.698784722219</v>
      </c>
      <c r="U1108" s="64">
        <f t="shared" si="106"/>
        <v>29.958333333328483</v>
      </c>
      <c r="V1108" s="13" t="str">
        <f t="shared" si="107"/>
        <v>underfunded</v>
      </c>
    </row>
    <row r="1109" spans="1:22" ht="6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0" t="s">
        <v>8330</v>
      </c>
      <c r="R1109" t="s">
        <v>8331</v>
      </c>
      <c r="S1109" s="14">
        <f t="shared" si="104"/>
        <v>41813.861388888887</v>
      </c>
      <c r="T1109" s="14">
        <f t="shared" si="105"/>
        <v>41843.861388888887</v>
      </c>
      <c r="U1109" s="64">
        <f t="shared" si="106"/>
        <v>30</v>
      </c>
      <c r="V1109" s="13" t="str">
        <f t="shared" si="107"/>
        <v>underfunded</v>
      </c>
    </row>
    <row r="1110" spans="1:22" ht="48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8330</v>
      </c>
      <c r="R1110" t="s">
        <v>8331</v>
      </c>
      <c r="S1110" s="14">
        <f t="shared" si="104"/>
        <v>40952.636979166666</v>
      </c>
      <c r="T1110" s="14">
        <f t="shared" si="105"/>
        <v>41012.595312500001</v>
      </c>
      <c r="U1110" s="64">
        <f t="shared" si="106"/>
        <v>59.958333333335759</v>
      </c>
      <c r="V1110" s="13" t="str">
        <f t="shared" si="107"/>
        <v>underfunded</v>
      </c>
    </row>
    <row r="1111" spans="1:22" ht="48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0" t="s">
        <v>8330</v>
      </c>
      <c r="R1111" t="s">
        <v>8331</v>
      </c>
      <c r="S1111" s="14">
        <f t="shared" si="104"/>
        <v>42662.752199074079</v>
      </c>
      <c r="T1111" s="14">
        <f t="shared" si="105"/>
        <v>42692.793865740736</v>
      </c>
      <c r="U1111" s="64">
        <f t="shared" si="106"/>
        <v>30.041666666656965</v>
      </c>
      <c r="V1111" s="13" t="str">
        <f t="shared" si="107"/>
        <v>underfunded</v>
      </c>
    </row>
    <row r="1112" spans="1:22" ht="48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8330</v>
      </c>
      <c r="R1112" t="s">
        <v>8331</v>
      </c>
      <c r="S1112" s="14">
        <f t="shared" si="104"/>
        <v>41220.933124999996</v>
      </c>
      <c r="T1112" s="14">
        <f t="shared" si="105"/>
        <v>41250.933124999996</v>
      </c>
      <c r="U1112" s="64">
        <f t="shared" si="106"/>
        <v>30</v>
      </c>
      <c r="V1112" s="13" t="str">
        <f t="shared" si="107"/>
        <v>underfunded</v>
      </c>
    </row>
    <row r="1113" spans="1:22" ht="48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0" t="s">
        <v>8330</v>
      </c>
      <c r="R1113" t="s">
        <v>8331</v>
      </c>
      <c r="S1113" s="14">
        <f t="shared" si="104"/>
        <v>42347.203587962969</v>
      </c>
      <c r="T1113" s="14">
        <f t="shared" si="105"/>
        <v>42377.203587962969</v>
      </c>
      <c r="U1113" s="64">
        <f t="shared" si="106"/>
        <v>30</v>
      </c>
      <c r="V1113" s="13" t="str">
        <f t="shared" si="107"/>
        <v>underfunded</v>
      </c>
    </row>
    <row r="1114" spans="1:22" ht="48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8330</v>
      </c>
      <c r="R1114" t="s">
        <v>8331</v>
      </c>
      <c r="S1114" s="14">
        <f t="shared" si="104"/>
        <v>41963.759386574078</v>
      </c>
      <c r="T1114" s="14">
        <f t="shared" si="105"/>
        <v>42023.354166666672</v>
      </c>
      <c r="U1114" s="64">
        <f t="shared" si="106"/>
        <v>59.594780092593282</v>
      </c>
      <c r="V1114" s="13" t="str">
        <f t="shared" si="107"/>
        <v>underfunded</v>
      </c>
    </row>
    <row r="1115" spans="1:22" ht="48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8330</v>
      </c>
      <c r="R1115" t="s">
        <v>8331</v>
      </c>
      <c r="S1115" s="14">
        <f t="shared" si="104"/>
        <v>41835.977083333331</v>
      </c>
      <c r="T1115" s="14">
        <f t="shared" si="105"/>
        <v>41865.977083333331</v>
      </c>
      <c r="U1115" s="64">
        <f t="shared" si="106"/>
        <v>30</v>
      </c>
      <c r="V1115" s="13" t="str">
        <f t="shared" si="107"/>
        <v>underfunded</v>
      </c>
    </row>
    <row r="1116" spans="1:22" ht="48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0" t="s">
        <v>8330</v>
      </c>
      <c r="R1116" t="s">
        <v>8331</v>
      </c>
      <c r="S1116" s="14">
        <f t="shared" si="104"/>
        <v>41526.345914351856</v>
      </c>
      <c r="T1116" s="14">
        <f t="shared" si="105"/>
        <v>41556.345914351856</v>
      </c>
      <c r="U1116" s="64">
        <f t="shared" si="106"/>
        <v>30</v>
      </c>
      <c r="V1116" s="13" t="str">
        <f t="shared" si="107"/>
        <v>underfunded</v>
      </c>
    </row>
    <row r="1117" spans="1:22" ht="48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0" t="s">
        <v>8330</v>
      </c>
      <c r="R1117" t="s">
        <v>8331</v>
      </c>
      <c r="S1117" s="14">
        <f t="shared" si="104"/>
        <v>42429.695543981477</v>
      </c>
      <c r="T1117" s="14">
        <f t="shared" si="105"/>
        <v>42459.653877314813</v>
      </c>
      <c r="U1117" s="64">
        <f t="shared" si="106"/>
        <v>29.958333333335759</v>
      </c>
      <c r="V1117" s="13" t="str">
        <f t="shared" si="107"/>
        <v>underfunded</v>
      </c>
    </row>
    <row r="1118" spans="1:22" ht="3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0" t="s">
        <v>8330</v>
      </c>
      <c r="R1118" t="s">
        <v>8331</v>
      </c>
      <c r="S1118" s="14">
        <f t="shared" si="104"/>
        <v>41009.847314814811</v>
      </c>
      <c r="T1118" s="14">
        <f t="shared" si="105"/>
        <v>41069.847314814811</v>
      </c>
      <c r="U1118" s="64">
        <f t="shared" si="106"/>
        <v>60</v>
      </c>
      <c r="V1118" s="13" t="str">
        <f t="shared" si="107"/>
        <v>underfunded</v>
      </c>
    </row>
    <row r="1119" spans="1:22" ht="48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8330</v>
      </c>
      <c r="R1119" t="s">
        <v>8331</v>
      </c>
      <c r="S1119" s="14">
        <f t="shared" si="104"/>
        <v>42333.598530092597</v>
      </c>
      <c r="T1119" s="14">
        <f t="shared" si="105"/>
        <v>42363.598530092597</v>
      </c>
      <c r="U1119" s="64">
        <f t="shared" si="106"/>
        <v>30</v>
      </c>
      <c r="V1119" s="13" t="str">
        <f t="shared" si="107"/>
        <v>underfunded</v>
      </c>
    </row>
    <row r="1120" spans="1:22" ht="48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8330</v>
      </c>
      <c r="R1120" t="s">
        <v>8331</v>
      </c>
      <c r="S1120" s="14">
        <f t="shared" si="104"/>
        <v>41704.16642361111</v>
      </c>
      <c r="T1120" s="14">
        <f t="shared" si="105"/>
        <v>41734.124756944446</v>
      </c>
      <c r="U1120" s="64">
        <f t="shared" si="106"/>
        <v>29.958333333335759</v>
      </c>
      <c r="V1120" s="13" t="str">
        <f t="shared" si="107"/>
        <v>underfunded</v>
      </c>
    </row>
    <row r="1121" spans="1:22" ht="48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0" t="s">
        <v>8330</v>
      </c>
      <c r="R1121" t="s">
        <v>8331</v>
      </c>
      <c r="S1121" s="14">
        <f t="shared" si="104"/>
        <v>41722.792407407411</v>
      </c>
      <c r="T1121" s="14">
        <f t="shared" si="105"/>
        <v>41735.792407407411</v>
      </c>
      <c r="U1121" s="64">
        <f t="shared" si="106"/>
        <v>13</v>
      </c>
      <c r="V1121" s="13" t="str">
        <f t="shared" si="107"/>
        <v>underfunded</v>
      </c>
    </row>
    <row r="1122" spans="1:22" ht="3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0" t="s">
        <v>8330</v>
      </c>
      <c r="R1122" t="s">
        <v>8331</v>
      </c>
      <c r="S1122" s="14">
        <f t="shared" si="104"/>
        <v>40799.872685185182</v>
      </c>
      <c r="T1122" s="14">
        <f t="shared" si="105"/>
        <v>40844.872685185182</v>
      </c>
      <c r="U1122" s="64">
        <f t="shared" si="106"/>
        <v>45</v>
      </c>
      <c r="V1122" s="13" t="str">
        <f t="shared" si="107"/>
        <v>underfunded</v>
      </c>
    </row>
    <row r="1123" spans="1:22" ht="48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0" t="s">
        <v>8330</v>
      </c>
      <c r="R1123" t="s">
        <v>8331</v>
      </c>
      <c r="S1123" s="14">
        <f t="shared" si="104"/>
        <v>42412.934212962966</v>
      </c>
      <c r="T1123" s="14">
        <f t="shared" si="105"/>
        <v>42442.892546296294</v>
      </c>
      <c r="U1123" s="64">
        <f t="shared" si="106"/>
        <v>29.958333333328483</v>
      </c>
      <c r="V1123" s="13" t="str">
        <f t="shared" si="107"/>
        <v>underfunded</v>
      </c>
    </row>
    <row r="1124" spans="1:22" ht="48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0" t="s">
        <v>8330</v>
      </c>
      <c r="R1124" t="s">
        <v>8331</v>
      </c>
      <c r="S1124" s="14">
        <f t="shared" si="104"/>
        <v>41410.703993055555</v>
      </c>
      <c r="T1124" s="14">
        <f t="shared" si="105"/>
        <v>41424.703993055555</v>
      </c>
      <c r="U1124" s="64">
        <f t="shared" si="106"/>
        <v>14</v>
      </c>
      <c r="V1124" s="13" t="str">
        <f t="shared" si="107"/>
        <v>underfunded</v>
      </c>
    </row>
    <row r="1125" spans="1:22" ht="48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0" t="s">
        <v>8330</v>
      </c>
      <c r="R1125" t="s">
        <v>8331</v>
      </c>
      <c r="S1125" s="14">
        <f t="shared" si="104"/>
        <v>41718.5237037037</v>
      </c>
      <c r="T1125" s="14">
        <f t="shared" si="105"/>
        <v>41748.5237037037</v>
      </c>
      <c r="U1125" s="64">
        <f t="shared" si="106"/>
        <v>30</v>
      </c>
      <c r="V1125" s="13" t="str">
        <f t="shared" si="107"/>
        <v>underfunded</v>
      </c>
    </row>
    <row r="1126" spans="1:22" ht="48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0" t="s">
        <v>8330</v>
      </c>
      <c r="R1126" t="s">
        <v>8332</v>
      </c>
      <c r="S1126" s="14">
        <f t="shared" si="104"/>
        <v>42094.667256944449</v>
      </c>
      <c r="T1126" s="14">
        <f t="shared" si="105"/>
        <v>42124.667256944449</v>
      </c>
      <c r="U1126" s="64">
        <f t="shared" si="106"/>
        <v>30</v>
      </c>
      <c r="V1126" s="13" t="str">
        <f t="shared" si="107"/>
        <v>underfunded</v>
      </c>
    </row>
    <row r="1127" spans="1:22" ht="48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0" t="s">
        <v>8330</v>
      </c>
      <c r="R1127" t="s">
        <v>8332</v>
      </c>
      <c r="S1127" s="14">
        <f t="shared" si="104"/>
        <v>42212.624189814815</v>
      </c>
      <c r="T1127" s="14">
        <f t="shared" si="105"/>
        <v>42272.624189814815</v>
      </c>
      <c r="U1127" s="64">
        <f t="shared" si="106"/>
        <v>60</v>
      </c>
      <c r="V1127" s="13" t="str">
        <f t="shared" si="107"/>
        <v>underfunded</v>
      </c>
    </row>
    <row r="1128" spans="1:22" ht="3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8330</v>
      </c>
      <c r="R1128" t="s">
        <v>8332</v>
      </c>
      <c r="S1128" s="14">
        <f t="shared" si="104"/>
        <v>42535.327476851846</v>
      </c>
      <c r="T1128" s="14">
        <f t="shared" si="105"/>
        <v>42565.327476851846</v>
      </c>
      <c r="U1128" s="64">
        <f t="shared" si="106"/>
        <v>30</v>
      </c>
      <c r="V1128" s="13" t="str">
        <f t="shared" si="107"/>
        <v>underfunded</v>
      </c>
    </row>
    <row r="1129" spans="1:22" ht="6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8330</v>
      </c>
      <c r="R1129" t="s">
        <v>8332</v>
      </c>
      <c r="S1129" s="14">
        <f t="shared" si="104"/>
        <v>41926.854166666664</v>
      </c>
      <c r="T1129" s="14">
        <f t="shared" si="105"/>
        <v>41957.895833333328</v>
      </c>
      <c r="U1129" s="64">
        <f t="shared" si="106"/>
        <v>31.041666666664241</v>
      </c>
      <c r="V1129" s="13" t="str">
        <f t="shared" si="107"/>
        <v>underfunded</v>
      </c>
    </row>
    <row r="1130" spans="1:22" ht="16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0" t="s">
        <v>8330</v>
      </c>
      <c r="R1130" t="s">
        <v>8332</v>
      </c>
      <c r="S1130" s="14">
        <f t="shared" si="104"/>
        <v>41828.649502314816</v>
      </c>
      <c r="T1130" s="14">
        <f t="shared" si="105"/>
        <v>41858.649502314816</v>
      </c>
      <c r="U1130" s="64">
        <f t="shared" si="106"/>
        <v>30</v>
      </c>
      <c r="V1130" s="13" t="str">
        <f t="shared" si="107"/>
        <v>underfunded</v>
      </c>
    </row>
    <row r="1131" spans="1:22" ht="48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0" t="s">
        <v>8330</v>
      </c>
      <c r="R1131" t="s">
        <v>8332</v>
      </c>
      <c r="S1131" s="14">
        <f t="shared" si="104"/>
        <v>42496.264965277776</v>
      </c>
      <c r="T1131" s="14">
        <f t="shared" si="105"/>
        <v>42526.264965277776</v>
      </c>
      <c r="U1131" s="64">
        <f t="shared" si="106"/>
        <v>30</v>
      </c>
      <c r="V1131" s="13" t="str">
        <f t="shared" si="107"/>
        <v>underfunded</v>
      </c>
    </row>
    <row r="1132" spans="1:22" ht="48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0" t="s">
        <v>8330</v>
      </c>
      <c r="R1132" t="s">
        <v>8332</v>
      </c>
      <c r="S1132" s="14">
        <f t="shared" si="104"/>
        <v>41908.996527777781</v>
      </c>
      <c r="T1132" s="14">
        <f t="shared" si="105"/>
        <v>41969.038194444445</v>
      </c>
      <c r="U1132" s="64">
        <f t="shared" si="106"/>
        <v>60.041666666664241</v>
      </c>
      <c r="V1132" s="13" t="str">
        <f t="shared" si="107"/>
        <v>underfunded</v>
      </c>
    </row>
    <row r="1133" spans="1:22" ht="48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0" t="s">
        <v>8330</v>
      </c>
      <c r="R1133" t="s">
        <v>8332</v>
      </c>
      <c r="S1133" s="14">
        <f t="shared" si="104"/>
        <v>42332.908194444448</v>
      </c>
      <c r="T1133" s="14">
        <f t="shared" si="105"/>
        <v>42362.908194444448</v>
      </c>
      <c r="U1133" s="64">
        <f t="shared" si="106"/>
        <v>30</v>
      </c>
      <c r="V1133" s="13" t="str">
        <f t="shared" si="107"/>
        <v>underfunded</v>
      </c>
    </row>
    <row r="1134" spans="1:22" ht="48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8330</v>
      </c>
      <c r="R1134" t="s">
        <v>8332</v>
      </c>
      <c r="S1134" s="14">
        <f t="shared" si="104"/>
        <v>42706.115405092598</v>
      </c>
      <c r="T1134" s="14">
        <f t="shared" si="105"/>
        <v>42736.115405092598</v>
      </c>
      <c r="U1134" s="64">
        <f t="shared" si="106"/>
        <v>30</v>
      </c>
      <c r="V1134" s="13" t="str">
        <f t="shared" si="107"/>
        <v>underfunded</v>
      </c>
    </row>
    <row r="1135" spans="1:22" ht="48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8330</v>
      </c>
      <c r="R1135" t="s">
        <v>8332</v>
      </c>
      <c r="S1135" s="14">
        <f t="shared" si="104"/>
        <v>41821.407187500001</v>
      </c>
      <c r="T1135" s="14">
        <f t="shared" si="105"/>
        <v>41851.407187500001</v>
      </c>
      <c r="U1135" s="64">
        <f t="shared" si="106"/>
        <v>30</v>
      </c>
      <c r="V1135" s="13" t="str">
        <f t="shared" si="107"/>
        <v>underfunded</v>
      </c>
    </row>
    <row r="1136" spans="1:22" ht="48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0" t="s">
        <v>8330</v>
      </c>
      <c r="R1136" t="s">
        <v>8332</v>
      </c>
      <c r="S1136" s="14">
        <f t="shared" si="104"/>
        <v>41958.285046296296</v>
      </c>
      <c r="T1136" s="14">
        <f t="shared" si="105"/>
        <v>41972.189583333333</v>
      </c>
      <c r="U1136" s="64">
        <f t="shared" si="106"/>
        <v>13.904537037036789</v>
      </c>
      <c r="V1136" s="13" t="str">
        <f t="shared" si="107"/>
        <v>underfunded</v>
      </c>
    </row>
    <row r="1137" spans="1:22" ht="6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8330</v>
      </c>
      <c r="R1137" t="s">
        <v>8332</v>
      </c>
      <c r="S1137" s="14">
        <f t="shared" si="104"/>
        <v>42558.989513888882</v>
      </c>
      <c r="T1137" s="14">
        <f t="shared" si="105"/>
        <v>42588.989513888882</v>
      </c>
      <c r="U1137" s="64">
        <f t="shared" si="106"/>
        <v>30</v>
      </c>
      <c r="V1137" s="13" t="str">
        <f t="shared" si="107"/>
        <v>underfunded</v>
      </c>
    </row>
    <row r="1138" spans="1:22" ht="48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8330</v>
      </c>
      <c r="R1138" t="s">
        <v>8332</v>
      </c>
      <c r="S1138" s="14">
        <f t="shared" si="104"/>
        <v>42327.671631944439</v>
      </c>
      <c r="T1138" s="14">
        <f t="shared" si="105"/>
        <v>42357.671631944439</v>
      </c>
      <c r="U1138" s="64">
        <f t="shared" si="106"/>
        <v>30</v>
      </c>
      <c r="V1138" s="13" t="str">
        <f t="shared" si="107"/>
        <v>underfunded</v>
      </c>
    </row>
    <row r="1139" spans="1:22" ht="48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8330</v>
      </c>
      <c r="R1139" t="s">
        <v>8332</v>
      </c>
      <c r="S1139" s="14">
        <f t="shared" si="104"/>
        <v>42453.819687499999</v>
      </c>
      <c r="T1139" s="14">
        <f t="shared" si="105"/>
        <v>42483.819687499999</v>
      </c>
      <c r="U1139" s="64">
        <f t="shared" si="106"/>
        <v>30</v>
      </c>
      <c r="V1139" s="13" t="str">
        <f t="shared" si="107"/>
        <v>underfunded</v>
      </c>
    </row>
    <row r="1140" spans="1:22" ht="48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0" t="s">
        <v>8330</v>
      </c>
      <c r="R1140" t="s">
        <v>8332</v>
      </c>
      <c r="S1140" s="14">
        <f t="shared" si="104"/>
        <v>42736.9066087963</v>
      </c>
      <c r="T1140" s="14">
        <f t="shared" si="105"/>
        <v>42756.9066087963</v>
      </c>
      <c r="U1140" s="64">
        <f t="shared" si="106"/>
        <v>20</v>
      </c>
      <c r="V1140" s="13" t="str">
        <f t="shared" si="107"/>
        <v>underfunded</v>
      </c>
    </row>
    <row r="1141" spans="1:22" ht="48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0" t="s">
        <v>8330</v>
      </c>
      <c r="R1141" t="s">
        <v>8332</v>
      </c>
      <c r="S1141" s="14">
        <f t="shared" si="104"/>
        <v>41975.347523148142</v>
      </c>
      <c r="T1141" s="14">
        <f t="shared" si="105"/>
        <v>42005.347523148142</v>
      </c>
      <c r="U1141" s="64">
        <f t="shared" si="106"/>
        <v>30</v>
      </c>
      <c r="V1141" s="13" t="str">
        <f t="shared" si="107"/>
        <v>underfunded</v>
      </c>
    </row>
    <row r="1142" spans="1:22" ht="48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0" t="s">
        <v>8330</v>
      </c>
      <c r="R1142" t="s">
        <v>8332</v>
      </c>
      <c r="S1142" s="14">
        <f t="shared" si="104"/>
        <v>42192.462048611109</v>
      </c>
      <c r="T1142" s="14">
        <f t="shared" si="105"/>
        <v>42222.462048611109</v>
      </c>
      <c r="U1142" s="64">
        <f t="shared" si="106"/>
        <v>30</v>
      </c>
      <c r="V1142" s="13" t="str">
        <f t="shared" si="107"/>
        <v>underfunded</v>
      </c>
    </row>
    <row r="1143" spans="1:22" ht="16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0" t="s">
        <v>8330</v>
      </c>
      <c r="R1143" t="s">
        <v>8332</v>
      </c>
      <c r="S1143" s="14">
        <f t="shared" si="104"/>
        <v>42164.699652777781</v>
      </c>
      <c r="T1143" s="14">
        <f t="shared" si="105"/>
        <v>42194.699652777781</v>
      </c>
      <c r="U1143" s="64">
        <f t="shared" si="106"/>
        <v>30</v>
      </c>
      <c r="V1143" s="13" t="str">
        <f t="shared" si="107"/>
        <v>underfunded</v>
      </c>
    </row>
    <row r="1144" spans="1:22" ht="48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0" t="s">
        <v>8330</v>
      </c>
      <c r="R1144" t="s">
        <v>8332</v>
      </c>
      <c r="S1144" s="14">
        <f t="shared" si="104"/>
        <v>42022.006099537044</v>
      </c>
      <c r="T1144" s="14">
        <f t="shared" si="105"/>
        <v>42052.006099537044</v>
      </c>
      <c r="U1144" s="64">
        <f t="shared" si="106"/>
        <v>30</v>
      </c>
      <c r="V1144" s="13" t="str">
        <f t="shared" si="107"/>
        <v>underfunded</v>
      </c>
    </row>
    <row r="1145" spans="1:22" ht="48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0" t="s">
        <v>8330</v>
      </c>
      <c r="R1145" t="s">
        <v>8332</v>
      </c>
      <c r="S1145" s="14">
        <f t="shared" si="104"/>
        <v>42325.19358796296</v>
      </c>
      <c r="T1145" s="14">
        <f t="shared" si="105"/>
        <v>42355.19358796296</v>
      </c>
      <c r="U1145" s="64">
        <f t="shared" si="106"/>
        <v>30</v>
      </c>
      <c r="V1145" s="13" t="str">
        <f t="shared" si="107"/>
        <v>underfunded</v>
      </c>
    </row>
    <row r="1146" spans="1:22" ht="48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0" t="s">
        <v>8333</v>
      </c>
      <c r="R1146" t="s">
        <v>8334</v>
      </c>
      <c r="S1146" s="14">
        <f t="shared" si="104"/>
        <v>42093.181944444441</v>
      </c>
      <c r="T1146" s="14">
        <f t="shared" si="105"/>
        <v>42123.181944444441</v>
      </c>
      <c r="U1146" s="64">
        <f t="shared" si="106"/>
        <v>30</v>
      </c>
      <c r="V1146" s="13" t="str">
        <f t="shared" si="107"/>
        <v>underfunded</v>
      </c>
    </row>
    <row r="1147" spans="1:22" ht="48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0" t="s">
        <v>8333</v>
      </c>
      <c r="R1147" t="s">
        <v>8334</v>
      </c>
      <c r="S1147" s="14">
        <f t="shared" si="104"/>
        <v>41854.747592592597</v>
      </c>
      <c r="T1147" s="14">
        <f t="shared" si="105"/>
        <v>41914.747592592597</v>
      </c>
      <c r="U1147" s="64">
        <f t="shared" si="106"/>
        <v>60</v>
      </c>
      <c r="V1147" s="13" t="str">
        <f t="shared" si="107"/>
        <v>underfunded</v>
      </c>
    </row>
    <row r="1148" spans="1:22" ht="3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8333</v>
      </c>
      <c r="R1148" t="s">
        <v>8334</v>
      </c>
      <c r="S1148" s="14">
        <f t="shared" si="104"/>
        <v>41723.9533912037</v>
      </c>
      <c r="T1148" s="14">
        <f t="shared" si="105"/>
        <v>41761.9533912037</v>
      </c>
      <c r="U1148" s="64">
        <f t="shared" si="106"/>
        <v>38</v>
      </c>
      <c r="V1148" s="13" t="str">
        <f t="shared" si="107"/>
        <v>underfunded</v>
      </c>
    </row>
    <row r="1149" spans="1:22" ht="48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0" t="s">
        <v>8333</v>
      </c>
      <c r="R1149" t="s">
        <v>8334</v>
      </c>
      <c r="S1149" s="14">
        <f t="shared" si="104"/>
        <v>41871.972025462965</v>
      </c>
      <c r="T1149" s="14">
        <f t="shared" si="105"/>
        <v>41931.972025462965</v>
      </c>
      <c r="U1149" s="64">
        <f t="shared" si="106"/>
        <v>60</v>
      </c>
      <c r="V1149" s="13" t="str">
        <f t="shared" si="107"/>
        <v>underfunded</v>
      </c>
    </row>
    <row r="1150" spans="1:22" ht="3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0" t="s">
        <v>8333</v>
      </c>
      <c r="R1150" t="s">
        <v>8334</v>
      </c>
      <c r="S1150" s="14">
        <f t="shared" si="104"/>
        <v>42675.171076388884</v>
      </c>
      <c r="T1150" s="14">
        <f t="shared" si="105"/>
        <v>42705.212743055556</v>
      </c>
      <c r="U1150" s="64">
        <f t="shared" si="106"/>
        <v>30.041666666671517</v>
      </c>
      <c r="V1150" s="13" t="str">
        <f t="shared" si="107"/>
        <v>underfunded</v>
      </c>
    </row>
    <row r="1151" spans="1:22" ht="3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0" t="s">
        <v>8333</v>
      </c>
      <c r="R1151" t="s">
        <v>8334</v>
      </c>
      <c r="S1151" s="14">
        <f t="shared" si="104"/>
        <v>42507.71025462963</v>
      </c>
      <c r="T1151" s="14">
        <f t="shared" si="105"/>
        <v>42537.71025462963</v>
      </c>
      <c r="U1151" s="64">
        <f t="shared" si="106"/>
        <v>30</v>
      </c>
      <c r="V1151" s="13" t="str">
        <f t="shared" si="107"/>
        <v>underfunded</v>
      </c>
    </row>
    <row r="1152" spans="1:22" ht="3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8333</v>
      </c>
      <c r="R1152" t="s">
        <v>8334</v>
      </c>
      <c r="S1152" s="14">
        <f t="shared" si="104"/>
        <v>42317.954571759255</v>
      </c>
      <c r="T1152" s="14">
        <f t="shared" si="105"/>
        <v>42377.954571759255</v>
      </c>
      <c r="U1152" s="64">
        <f t="shared" si="106"/>
        <v>60</v>
      </c>
      <c r="V1152" s="13" t="str">
        <f t="shared" si="107"/>
        <v>underfunded</v>
      </c>
    </row>
    <row r="1153" spans="1:22" ht="48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0" t="s">
        <v>8333</v>
      </c>
      <c r="R1153" t="s">
        <v>8334</v>
      </c>
      <c r="S1153" s="14">
        <f t="shared" si="104"/>
        <v>42224.102581018517</v>
      </c>
      <c r="T1153" s="14">
        <f t="shared" si="105"/>
        <v>42254.102581018517</v>
      </c>
      <c r="U1153" s="64">
        <f t="shared" si="106"/>
        <v>30</v>
      </c>
      <c r="V1153" s="13" t="str">
        <f t="shared" si="107"/>
        <v>underfunded</v>
      </c>
    </row>
    <row r="1154" spans="1:22" ht="16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>
        <f t="shared" si="103"/>
        <v>60.73</v>
      </c>
      <c r="Q1154" s="10" t="s">
        <v>8333</v>
      </c>
      <c r="R1154" t="s">
        <v>8334</v>
      </c>
      <c r="S1154" s="14">
        <f t="shared" si="104"/>
        <v>42109.709629629629</v>
      </c>
      <c r="T1154" s="14">
        <f t="shared" si="105"/>
        <v>42139.709629629629</v>
      </c>
      <c r="U1154" s="64">
        <f t="shared" si="106"/>
        <v>30</v>
      </c>
      <c r="V1154" s="13" t="str">
        <f t="shared" si="107"/>
        <v>underfunded</v>
      </c>
    </row>
    <row r="1155" spans="1:22" ht="3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ROUND(E1155/D1155*100,0)</f>
        <v>1</v>
      </c>
      <c r="P1155">
        <f t="shared" ref="P1155:P1218" si="109">IFERROR(ROUND(E1155/L1155,2), 0)</f>
        <v>50</v>
      </c>
      <c r="Q1155" s="10" t="s">
        <v>8333</v>
      </c>
      <c r="R1155" t="s">
        <v>8334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 s="64">
        <f t="shared" ref="U1155:V1218" si="112">T1155-S1155</f>
        <v>30</v>
      </c>
      <c r="V1155" s="13" t="str">
        <f t="shared" ref="V1155:V1218" si="113">IF(E1155&gt;=D1155, "funded", "underfunded")</f>
        <v>underfunded</v>
      </c>
    </row>
    <row r="1156" spans="1:22" ht="48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8333</v>
      </c>
      <c r="R1156" t="s">
        <v>8334</v>
      </c>
      <c r="S1156" s="14">
        <f t="shared" si="110"/>
        <v>42223.108865740738</v>
      </c>
      <c r="T1156" s="14">
        <f t="shared" si="111"/>
        <v>42253.108865740738</v>
      </c>
      <c r="U1156" s="64">
        <f t="shared" si="112"/>
        <v>30</v>
      </c>
      <c r="V1156" s="13" t="str">
        <f t="shared" si="113"/>
        <v>underfunded</v>
      </c>
    </row>
    <row r="1157" spans="1:22" ht="48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8333</v>
      </c>
      <c r="R1157" t="s">
        <v>8334</v>
      </c>
      <c r="S1157" s="14">
        <f t="shared" si="110"/>
        <v>41835.763981481483</v>
      </c>
      <c r="T1157" s="14">
        <f t="shared" si="111"/>
        <v>41865.763981481483</v>
      </c>
      <c r="U1157" s="64">
        <f t="shared" si="112"/>
        <v>30</v>
      </c>
      <c r="V1157" s="13" t="str">
        <f t="shared" si="113"/>
        <v>underfunded</v>
      </c>
    </row>
    <row r="1158" spans="1:22" ht="48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0" t="s">
        <v>8333</v>
      </c>
      <c r="R1158" t="s">
        <v>8334</v>
      </c>
      <c r="S1158" s="14">
        <f t="shared" si="110"/>
        <v>42029.07131944444</v>
      </c>
      <c r="T1158" s="14">
        <f t="shared" si="111"/>
        <v>42059.07131944444</v>
      </c>
      <c r="U1158" s="64">
        <f t="shared" si="112"/>
        <v>30</v>
      </c>
      <c r="V1158" s="13" t="str">
        <f t="shared" si="113"/>
        <v>underfunded</v>
      </c>
    </row>
    <row r="1159" spans="1:22" ht="48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8333</v>
      </c>
      <c r="R1159" t="s">
        <v>8334</v>
      </c>
      <c r="S1159" s="14">
        <f t="shared" si="110"/>
        <v>41918.628240740742</v>
      </c>
      <c r="T1159" s="14">
        <f t="shared" si="111"/>
        <v>41978.669907407413</v>
      </c>
      <c r="U1159" s="64">
        <f t="shared" si="112"/>
        <v>60.041666666671517</v>
      </c>
      <c r="V1159" s="13" t="str">
        <f t="shared" si="113"/>
        <v>underfunded</v>
      </c>
    </row>
    <row r="1160" spans="1:22" ht="48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0" t="s">
        <v>8333</v>
      </c>
      <c r="R1160" t="s">
        <v>8334</v>
      </c>
      <c r="S1160" s="14">
        <f t="shared" si="110"/>
        <v>41952.09175925926</v>
      </c>
      <c r="T1160" s="14">
        <f t="shared" si="111"/>
        <v>41982.09175925926</v>
      </c>
      <c r="U1160" s="64">
        <f t="shared" si="112"/>
        <v>30</v>
      </c>
      <c r="V1160" s="13" t="str">
        <f t="shared" si="113"/>
        <v>underfunded</v>
      </c>
    </row>
    <row r="1161" spans="1:22" ht="48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0" t="s">
        <v>8333</v>
      </c>
      <c r="R1161" t="s">
        <v>8334</v>
      </c>
      <c r="S1161" s="14">
        <f t="shared" si="110"/>
        <v>42154.726446759261</v>
      </c>
      <c r="T1161" s="14">
        <f t="shared" si="111"/>
        <v>42185.65625</v>
      </c>
      <c r="U1161" s="64">
        <f t="shared" si="112"/>
        <v>30.929803240738693</v>
      </c>
      <c r="V1161" s="13" t="str">
        <f t="shared" si="113"/>
        <v>underfunded</v>
      </c>
    </row>
    <row r="1162" spans="1:22" ht="48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8333</v>
      </c>
      <c r="R1162" t="s">
        <v>8334</v>
      </c>
      <c r="S1162" s="14">
        <f t="shared" si="110"/>
        <v>42061.154930555553</v>
      </c>
      <c r="T1162" s="14">
        <f t="shared" si="111"/>
        <v>42091.113263888896</v>
      </c>
      <c r="U1162" s="64">
        <f t="shared" si="112"/>
        <v>29.958333333343035</v>
      </c>
      <c r="V1162" s="13" t="str">
        <f t="shared" si="113"/>
        <v>underfunded</v>
      </c>
    </row>
    <row r="1163" spans="1:22" ht="48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0" t="s">
        <v>8333</v>
      </c>
      <c r="R1163" t="s">
        <v>8334</v>
      </c>
      <c r="S1163" s="14">
        <f t="shared" si="110"/>
        <v>42122.629502314812</v>
      </c>
      <c r="T1163" s="14">
        <f t="shared" si="111"/>
        <v>42143.629502314812</v>
      </c>
      <c r="U1163" s="64">
        <f t="shared" si="112"/>
        <v>21</v>
      </c>
      <c r="V1163" s="13" t="str">
        <f t="shared" si="113"/>
        <v>underfunded</v>
      </c>
    </row>
    <row r="1164" spans="1:22" ht="48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0" t="s">
        <v>8333</v>
      </c>
      <c r="R1164" t="s">
        <v>8334</v>
      </c>
      <c r="S1164" s="14">
        <f t="shared" si="110"/>
        <v>41876.683611111112</v>
      </c>
      <c r="T1164" s="14">
        <f t="shared" si="111"/>
        <v>41907.683611111112</v>
      </c>
      <c r="U1164" s="64">
        <f t="shared" si="112"/>
        <v>31</v>
      </c>
      <c r="V1164" s="13" t="str">
        <f t="shared" si="113"/>
        <v>underfunded</v>
      </c>
    </row>
    <row r="1165" spans="1:22" ht="48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0" t="s">
        <v>8333</v>
      </c>
      <c r="R1165" t="s">
        <v>8334</v>
      </c>
      <c r="S1165" s="14">
        <f t="shared" si="110"/>
        <v>41830.723611111112</v>
      </c>
      <c r="T1165" s="14">
        <f t="shared" si="111"/>
        <v>41860.723611111112</v>
      </c>
      <c r="U1165" s="64">
        <f t="shared" si="112"/>
        <v>30</v>
      </c>
      <c r="V1165" s="13" t="str">
        <f t="shared" si="113"/>
        <v>underfunded</v>
      </c>
    </row>
    <row r="1166" spans="1:22" ht="6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0" t="s">
        <v>8333</v>
      </c>
      <c r="R1166" t="s">
        <v>8334</v>
      </c>
      <c r="S1166" s="14">
        <f t="shared" si="110"/>
        <v>42509.724328703705</v>
      </c>
      <c r="T1166" s="14">
        <f t="shared" si="111"/>
        <v>42539.724328703705</v>
      </c>
      <c r="U1166" s="64">
        <f t="shared" si="112"/>
        <v>30</v>
      </c>
      <c r="V1166" s="13" t="str">
        <f t="shared" si="113"/>
        <v>underfunded</v>
      </c>
    </row>
    <row r="1167" spans="1:22" ht="48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8333</v>
      </c>
      <c r="R1167" t="s">
        <v>8334</v>
      </c>
      <c r="S1167" s="14">
        <f t="shared" si="110"/>
        <v>41792.214467592588</v>
      </c>
      <c r="T1167" s="14">
        <f t="shared" si="111"/>
        <v>41826.214467592588</v>
      </c>
      <c r="U1167" s="64">
        <f t="shared" si="112"/>
        <v>34</v>
      </c>
      <c r="V1167" s="13" t="str">
        <f t="shared" si="113"/>
        <v>underfunded</v>
      </c>
    </row>
    <row r="1168" spans="1:22" ht="48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8333</v>
      </c>
      <c r="R1168" t="s">
        <v>8334</v>
      </c>
      <c r="S1168" s="14">
        <f t="shared" si="110"/>
        <v>42150.485439814816</v>
      </c>
      <c r="T1168" s="14">
        <f t="shared" si="111"/>
        <v>42181.166666666672</v>
      </c>
      <c r="U1168" s="64">
        <f t="shared" si="112"/>
        <v>30.681226851855172</v>
      </c>
      <c r="V1168" s="13" t="str">
        <f t="shared" si="113"/>
        <v>underfunded</v>
      </c>
    </row>
    <row r="1169" spans="1:22" ht="48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8333</v>
      </c>
      <c r="R1169" t="s">
        <v>8334</v>
      </c>
      <c r="S1169" s="14">
        <f t="shared" si="110"/>
        <v>41863.734895833331</v>
      </c>
      <c r="T1169" s="14">
        <f t="shared" si="111"/>
        <v>41894.734895833331</v>
      </c>
      <c r="U1169" s="64">
        <f t="shared" si="112"/>
        <v>31</v>
      </c>
      <c r="V1169" s="13" t="str">
        <f t="shared" si="113"/>
        <v>underfunded</v>
      </c>
    </row>
    <row r="1170" spans="1:22" ht="48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8333</v>
      </c>
      <c r="R1170" t="s">
        <v>8334</v>
      </c>
      <c r="S1170" s="14">
        <f t="shared" si="110"/>
        <v>42605.053993055553</v>
      </c>
      <c r="T1170" s="14">
        <f t="shared" si="111"/>
        <v>42635.053993055553</v>
      </c>
      <c r="U1170" s="64">
        <f t="shared" si="112"/>
        <v>30</v>
      </c>
      <c r="V1170" s="13" t="str">
        <f t="shared" si="113"/>
        <v>underfunded</v>
      </c>
    </row>
    <row r="1171" spans="1:22" ht="48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0" t="s">
        <v>8333</v>
      </c>
      <c r="R1171" t="s">
        <v>8334</v>
      </c>
      <c r="S1171" s="14">
        <f t="shared" si="110"/>
        <v>42027.353738425925</v>
      </c>
      <c r="T1171" s="14">
        <f t="shared" si="111"/>
        <v>42057.353738425925</v>
      </c>
      <c r="U1171" s="64">
        <f t="shared" si="112"/>
        <v>30</v>
      </c>
      <c r="V1171" s="13" t="str">
        <f t="shared" si="113"/>
        <v>underfunded</v>
      </c>
    </row>
    <row r="1172" spans="1:22" ht="48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0" t="s">
        <v>8333</v>
      </c>
      <c r="R1172" t="s">
        <v>8334</v>
      </c>
      <c r="S1172" s="14">
        <f t="shared" si="110"/>
        <v>42124.893182870372</v>
      </c>
      <c r="T1172" s="14">
        <f t="shared" si="111"/>
        <v>42154.893182870372</v>
      </c>
      <c r="U1172" s="64">
        <f t="shared" si="112"/>
        <v>30</v>
      </c>
      <c r="V1172" s="13" t="str">
        <f t="shared" si="113"/>
        <v>underfunded</v>
      </c>
    </row>
    <row r="1173" spans="1:22" ht="3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0" t="s">
        <v>8333</v>
      </c>
      <c r="R1173" t="s">
        <v>8334</v>
      </c>
      <c r="S1173" s="14">
        <f t="shared" si="110"/>
        <v>41938.804710648146</v>
      </c>
      <c r="T1173" s="14">
        <f t="shared" si="111"/>
        <v>41956.846377314811</v>
      </c>
      <c r="U1173" s="64">
        <f t="shared" si="112"/>
        <v>18.041666666664241</v>
      </c>
      <c r="V1173" s="13" t="str">
        <f t="shared" si="113"/>
        <v>underfunded</v>
      </c>
    </row>
    <row r="1174" spans="1:22" ht="16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0" t="s">
        <v>8333</v>
      </c>
      <c r="R1174" t="s">
        <v>8334</v>
      </c>
      <c r="S1174" s="14">
        <f t="shared" si="110"/>
        <v>41841.682314814818</v>
      </c>
      <c r="T1174" s="14">
        <f t="shared" si="111"/>
        <v>41871.682314814818</v>
      </c>
      <c r="U1174" s="64">
        <f t="shared" si="112"/>
        <v>30</v>
      </c>
      <c r="V1174" s="13" t="str">
        <f t="shared" si="113"/>
        <v>underfunded</v>
      </c>
    </row>
    <row r="1175" spans="1:22" ht="48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0" t="s">
        <v>8333</v>
      </c>
      <c r="R1175" t="s">
        <v>8334</v>
      </c>
      <c r="S1175" s="14">
        <f t="shared" si="110"/>
        <v>42184.185844907406</v>
      </c>
      <c r="T1175" s="14">
        <f t="shared" si="111"/>
        <v>42219.185844907406</v>
      </c>
      <c r="U1175" s="64">
        <f t="shared" si="112"/>
        <v>35</v>
      </c>
      <c r="V1175" s="13" t="str">
        <f t="shared" si="113"/>
        <v>underfunded</v>
      </c>
    </row>
    <row r="1176" spans="1:22" ht="48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8333</v>
      </c>
      <c r="R1176" t="s">
        <v>8334</v>
      </c>
      <c r="S1176" s="14">
        <f t="shared" si="110"/>
        <v>42468.84174768519</v>
      </c>
      <c r="T1176" s="14">
        <f t="shared" si="111"/>
        <v>42498.84174768519</v>
      </c>
      <c r="U1176" s="64">
        <f t="shared" si="112"/>
        <v>30</v>
      </c>
      <c r="V1176" s="13" t="str">
        <f t="shared" si="113"/>
        <v>underfunded</v>
      </c>
    </row>
    <row r="1177" spans="1:22" ht="48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8333</v>
      </c>
      <c r="R1177" t="s">
        <v>8334</v>
      </c>
      <c r="S1177" s="14">
        <f t="shared" si="110"/>
        <v>42170.728460648148</v>
      </c>
      <c r="T1177" s="14">
        <f t="shared" si="111"/>
        <v>42200.728460648148</v>
      </c>
      <c r="U1177" s="64">
        <f t="shared" si="112"/>
        <v>30</v>
      </c>
      <c r="V1177" s="13" t="str">
        <f t="shared" si="113"/>
        <v>underfunded</v>
      </c>
    </row>
    <row r="1178" spans="1:22" ht="6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0" t="s">
        <v>8333</v>
      </c>
      <c r="R1178" t="s">
        <v>8334</v>
      </c>
      <c r="S1178" s="14">
        <f t="shared" si="110"/>
        <v>42746.019652777773</v>
      </c>
      <c r="T1178" s="14">
        <f t="shared" si="111"/>
        <v>42800.541666666672</v>
      </c>
      <c r="U1178" s="64">
        <f t="shared" si="112"/>
        <v>54.522013888898073</v>
      </c>
      <c r="V1178" s="13" t="str">
        <f t="shared" si="113"/>
        <v>underfunded</v>
      </c>
    </row>
    <row r="1179" spans="1:22" ht="48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0" t="s">
        <v>8333</v>
      </c>
      <c r="R1179" t="s">
        <v>8334</v>
      </c>
      <c r="S1179" s="14">
        <f t="shared" si="110"/>
        <v>41897.660833333335</v>
      </c>
      <c r="T1179" s="14">
        <f t="shared" si="111"/>
        <v>41927.660833333335</v>
      </c>
      <c r="U1179" s="64">
        <f t="shared" si="112"/>
        <v>30</v>
      </c>
      <c r="V1179" s="13" t="str">
        <f t="shared" si="113"/>
        <v>underfunded</v>
      </c>
    </row>
    <row r="1180" spans="1:22" ht="48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0" t="s">
        <v>8333</v>
      </c>
      <c r="R1180" t="s">
        <v>8334</v>
      </c>
      <c r="S1180" s="14">
        <f t="shared" si="110"/>
        <v>41837.905694444446</v>
      </c>
      <c r="T1180" s="14">
        <f t="shared" si="111"/>
        <v>41867.905694444446</v>
      </c>
      <c r="U1180" s="64">
        <f t="shared" si="112"/>
        <v>30</v>
      </c>
      <c r="V1180" s="13" t="str">
        <f t="shared" si="113"/>
        <v>underfunded</v>
      </c>
    </row>
    <row r="1181" spans="1:22" ht="48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8333</v>
      </c>
      <c r="R1181" t="s">
        <v>8334</v>
      </c>
      <c r="S1181" s="14">
        <f t="shared" si="110"/>
        <v>42275.720219907409</v>
      </c>
      <c r="T1181" s="14">
        <f t="shared" si="111"/>
        <v>42305.720219907409</v>
      </c>
      <c r="U1181" s="64">
        <f t="shared" si="112"/>
        <v>30</v>
      </c>
      <c r="V1181" s="13" t="str">
        <f t="shared" si="113"/>
        <v>underfunded</v>
      </c>
    </row>
    <row r="1182" spans="1:22" ht="3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8333</v>
      </c>
      <c r="R1182" t="s">
        <v>8334</v>
      </c>
      <c r="S1182" s="14">
        <f t="shared" si="110"/>
        <v>41781.806875000002</v>
      </c>
      <c r="T1182" s="14">
        <f t="shared" si="111"/>
        <v>41818.806875000002</v>
      </c>
      <c r="U1182" s="64">
        <f t="shared" si="112"/>
        <v>37</v>
      </c>
      <c r="V1182" s="13" t="str">
        <f t="shared" si="113"/>
        <v>underfunded</v>
      </c>
    </row>
    <row r="1183" spans="1:22" ht="16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0" t="s">
        <v>8333</v>
      </c>
      <c r="R1183" t="s">
        <v>8334</v>
      </c>
      <c r="S1183" s="14">
        <f t="shared" si="110"/>
        <v>42034.339363425926</v>
      </c>
      <c r="T1183" s="14">
        <f t="shared" si="111"/>
        <v>42064.339363425926</v>
      </c>
      <c r="U1183" s="64">
        <f t="shared" si="112"/>
        <v>30</v>
      </c>
      <c r="V1183" s="13" t="str">
        <f t="shared" si="113"/>
        <v>underfunded</v>
      </c>
    </row>
    <row r="1184" spans="1:22" ht="48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8333</v>
      </c>
      <c r="R1184" t="s">
        <v>8334</v>
      </c>
      <c r="S1184" s="14">
        <f t="shared" si="110"/>
        <v>42728.827407407407</v>
      </c>
      <c r="T1184" s="14">
        <f t="shared" si="111"/>
        <v>42747.695833333331</v>
      </c>
      <c r="U1184" s="64">
        <f t="shared" si="112"/>
        <v>18.868425925924385</v>
      </c>
      <c r="V1184" s="13" t="str">
        <f t="shared" si="113"/>
        <v>underfunded</v>
      </c>
    </row>
    <row r="1185" spans="1:22" ht="48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8333</v>
      </c>
      <c r="R1185" t="s">
        <v>8334</v>
      </c>
      <c r="S1185" s="14">
        <f t="shared" si="110"/>
        <v>42656.86137731481</v>
      </c>
      <c r="T1185" s="14">
        <f t="shared" si="111"/>
        <v>42676.165972222225</v>
      </c>
      <c r="U1185" s="64">
        <f t="shared" si="112"/>
        <v>19.304594907414867</v>
      </c>
      <c r="V1185" s="13" t="str">
        <f t="shared" si="113"/>
        <v>underfunded</v>
      </c>
    </row>
    <row r="1186" spans="1:22" ht="48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8335</v>
      </c>
      <c r="R1186" t="s">
        <v>8336</v>
      </c>
      <c r="S1186" s="14">
        <f t="shared" si="110"/>
        <v>42741.599664351852</v>
      </c>
      <c r="T1186" s="14">
        <f t="shared" si="111"/>
        <v>42772.599664351852</v>
      </c>
      <c r="U1186" s="64">
        <f t="shared" si="112"/>
        <v>31</v>
      </c>
      <c r="V1186" s="13" t="str">
        <f t="shared" si="113"/>
        <v>funded</v>
      </c>
    </row>
    <row r="1187" spans="1:22" ht="48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8335</v>
      </c>
      <c r="R1187" t="s">
        <v>8336</v>
      </c>
      <c r="S1187" s="14">
        <f t="shared" si="110"/>
        <v>42130.865150462967</v>
      </c>
      <c r="T1187" s="14">
        <f t="shared" si="111"/>
        <v>42163.166666666672</v>
      </c>
      <c r="U1187" s="64">
        <f t="shared" si="112"/>
        <v>32.301516203704523</v>
      </c>
      <c r="V1187" s="13" t="str">
        <f t="shared" si="113"/>
        <v>funded</v>
      </c>
    </row>
    <row r="1188" spans="1:22" ht="48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8335</v>
      </c>
      <c r="R1188" t="s">
        <v>8336</v>
      </c>
      <c r="S1188" s="14">
        <f t="shared" si="110"/>
        <v>42123.86336805555</v>
      </c>
      <c r="T1188" s="14">
        <f t="shared" si="111"/>
        <v>42156.945833333331</v>
      </c>
      <c r="U1188" s="64">
        <f t="shared" si="112"/>
        <v>33.082465277781012</v>
      </c>
      <c r="V1188" s="13" t="str">
        <f t="shared" si="113"/>
        <v>funded</v>
      </c>
    </row>
    <row r="1189" spans="1:22" ht="48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8335</v>
      </c>
      <c r="R1189" t="s">
        <v>8336</v>
      </c>
      <c r="S1189" s="14">
        <f t="shared" si="110"/>
        <v>42109.894942129627</v>
      </c>
      <c r="T1189" s="14">
        <f t="shared" si="111"/>
        <v>42141.75</v>
      </c>
      <c r="U1189" s="64">
        <f t="shared" si="112"/>
        <v>31.855057870372548</v>
      </c>
      <c r="V1189" s="13" t="str">
        <f t="shared" si="113"/>
        <v>funded</v>
      </c>
    </row>
    <row r="1190" spans="1:22" ht="48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8335</v>
      </c>
      <c r="R1190" t="s">
        <v>8336</v>
      </c>
      <c r="S1190" s="14">
        <f t="shared" si="110"/>
        <v>42711.700694444444</v>
      </c>
      <c r="T1190" s="14">
        <f t="shared" si="111"/>
        <v>42732.700694444444</v>
      </c>
      <c r="U1190" s="64">
        <f t="shared" si="112"/>
        <v>21</v>
      </c>
      <c r="V1190" s="13" t="str">
        <f t="shared" si="113"/>
        <v>funded</v>
      </c>
    </row>
    <row r="1191" spans="1:22" ht="48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8335</v>
      </c>
      <c r="R1191" t="s">
        <v>8336</v>
      </c>
      <c r="S1191" s="14">
        <f t="shared" si="110"/>
        <v>42529.979108796295</v>
      </c>
      <c r="T1191" s="14">
        <f t="shared" si="111"/>
        <v>42550.979108796295</v>
      </c>
      <c r="U1191" s="64">
        <f t="shared" si="112"/>
        <v>21</v>
      </c>
      <c r="V1191" s="13" t="str">
        <f t="shared" si="113"/>
        <v>funded</v>
      </c>
    </row>
    <row r="1192" spans="1:22" ht="3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8335</v>
      </c>
      <c r="R1192" t="s">
        <v>8336</v>
      </c>
      <c r="S1192" s="14">
        <f t="shared" si="110"/>
        <v>41852.665798611109</v>
      </c>
      <c r="T1192" s="14">
        <f t="shared" si="111"/>
        <v>41882.665798611109</v>
      </c>
      <c r="U1192" s="64">
        <f t="shared" si="112"/>
        <v>30</v>
      </c>
      <c r="V1192" s="13" t="str">
        <f t="shared" si="113"/>
        <v>funded</v>
      </c>
    </row>
    <row r="1193" spans="1:22" ht="48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8335</v>
      </c>
      <c r="R1193" t="s">
        <v>8336</v>
      </c>
      <c r="S1193" s="14">
        <f t="shared" si="110"/>
        <v>42419.603703703702</v>
      </c>
      <c r="T1193" s="14">
        <f t="shared" si="111"/>
        <v>42449.562037037031</v>
      </c>
      <c r="U1193" s="64">
        <f t="shared" si="112"/>
        <v>29.958333333328483</v>
      </c>
      <c r="V1193" s="13" t="str">
        <f t="shared" si="113"/>
        <v>funded</v>
      </c>
    </row>
    <row r="1194" spans="1:22" ht="3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8335</v>
      </c>
      <c r="R1194" t="s">
        <v>8336</v>
      </c>
      <c r="S1194" s="14">
        <f t="shared" si="110"/>
        <v>42747.506689814814</v>
      </c>
      <c r="T1194" s="14">
        <f t="shared" si="111"/>
        <v>42777.506689814814</v>
      </c>
      <c r="U1194" s="64">
        <f t="shared" si="112"/>
        <v>30</v>
      </c>
      <c r="V1194" s="13" t="str">
        <f t="shared" si="113"/>
        <v>funded</v>
      </c>
    </row>
    <row r="1195" spans="1:22" ht="48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8335</v>
      </c>
      <c r="R1195" t="s">
        <v>8336</v>
      </c>
      <c r="S1195" s="14">
        <f t="shared" si="110"/>
        <v>42409.776076388895</v>
      </c>
      <c r="T1195" s="14">
        <f t="shared" si="111"/>
        <v>42469.734409722223</v>
      </c>
      <c r="U1195" s="64">
        <f t="shared" si="112"/>
        <v>59.958333333328483</v>
      </c>
      <c r="V1195" s="13" t="str">
        <f t="shared" si="113"/>
        <v>funded</v>
      </c>
    </row>
    <row r="1196" spans="1:22" ht="48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8335</v>
      </c>
      <c r="R1196" t="s">
        <v>8336</v>
      </c>
      <c r="S1196" s="14">
        <f t="shared" si="110"/>
        <v>42072.488182870366</v>
      </c>
      <c r="T1196" s="14">
        <f t="shared" si="111"/>
        <v>42102.488182870366</v>
      </c>
      <c r="U1196" s="64">
        <f t="shared" si="112"/>
        <v>30</v>
      </c>
      <c r="V1196" s="13" t="str">
        <f t="shared" si="113"/>
        <v>funded</v>
      </c>
    </row>
    <row r="1197" spans="1:22" ht="6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8335</v>
      </c>
      <c r="R1197" t="s">
        <v>8336</v>
      </c>
      <c r="S1197" s="14">
        <f t="shared" si="110"/>
        <v>42298.34783564815</v>
      </c>
      <c r="T1197" s="14">
        <f t="shared" si="111"/>
        <v>42358.375</v>
      </c>
      <c r="U1197" s="64">
        <f t="shared" si="112"/>
        <v>60.027164351849933</v>
      </c>
      <c r="V1197" s="13" t="str">
        <f t="shared" si="113"/>
        <v>funded</v>
      </c>
    </row>
    <row r="1198" spans="1:22" ht="3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8335</v>
      </c>
      <c r="R1198" t="s">
        <v>8336</v>
      </c>
      <c r="S1198" s="14">
        <f t="shared" si="110"/>
        <v>42326.818738425922</v>
      </c>
      <c r="T1198" s="14">
        <f t="shared" si="111"/>
        <v>42356.818738425922</v>
      </c>
      <c r="U1198" s="64">
        <f t="shared" si="112"/>
        <v>30</v>
      </c>
      <c r="V1198" s="13" t="str">
        <f t="shared" si="113"/>
        <v>funded</v>
      </c>
    </row>
    <row r="1199" spans="1:22" ht="48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8335</v>
      </c>
      <c r="R1199" t="s">
        <v>8336</v>
      </c>
      <c r="S1199" s="14">
        <f t="shared" si="110"/>
        <v>42503.66474537037</v>
      </c>
      <c r="T1199" s="14">
        <f t="shared" si="111"/>
        <v>42534.249305555553</v>
      </c>
      <c r="U1199" s="64">
        <f t="shared" si="112"/>
        <v>30.584560185183364</v>
      </c>
      <c r="V1199" s="13" t="str">
        <f t="shared" si="113"/>
        <v>funded</v>
      </c>
    </row>
    <row r="1200" spans="1:22" ht="48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8335</v>
      </c>
      <c r="R1200" t="s">
        <v>8336</v>
      </c>
      <c r="S1200" s="14">
        <f t="shared" si="110"/>
        <v>42333.619050925925</v>
      </c>
      <c r="T1200" s="14">
        <f t="shared" si="111"/>
        <v>42369.125</v>
      </c>
      <c r="U1200" s="64">
        <f t="shared" si="112"/>
        <v>35.505949074075033</v>
      </c>
      <c r="V1200" s="13" t="str">
        <f t="shared" si="113"/>
        <v>funded</v>
      </c>
    </row>
    <row r="1201" spans="1:22" ht="48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8335</v>
      </c>
      <c r="R1201" t="s">
        <v>8336</v>
      </c>
      <c r="S1201" s="14">
        <f t="shared" si="110"/>
        <v>42161.770833333328</v>
      </c>
      <c r="T1201" s="14">
        <f t="shared" si="111"/>
        <v>42193.770833333328</v>
      </c>
      <c r="U1201" s="64">
        <f t="shared" si="112"/>
        <v>32</v>
      </c>
      <c r="V1201" s="13" t="str">
        <f t="shared" si="113"/>
        <v>funded</v>
      </c>
    </row>
    <row r="1202" spans="1:22" ht="48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8335</v>
      </c>
      <c r="R1202" t="s">
        <v>8336</v>
      </c>
      <c r="S1202" s="14">
        <f t="shared" si="110"/>
        <v>42089.477500000001</v>
      </c>
      <c r="T1202" s="14">
        <f t="shared" si="111"/>
        <v>42110.477500000001</v>
      </c>
      <c r="U1202" s="64">
        <f t="shared" si="112"/>
        <v>21</v>
      </c>
      <c r="V1202" s="13" t="str">
        <f t="shared" si="113"/>
        <v>funded</v>
      </c>
    </row>
    <row r="1203" spans="1:22" ht="48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8335</v>
      </c>
      <c r="R1203" t="s">
        <v>8336</v>
      </c>
      <c r="S1203" s="14">
        <f t="shared" si="110"/>
        <v>42536.60701388889</v>
      </c>
      <c r="T1203" s="14">
        <f t="shared" si="111"/>
        <v>42566.60701388889</v>
      </c>
      <c r="U1203" s="64">
        <f t="shared" si="112"/>
        <v>30</v>
      </c>
      <c r="V1203" s="13" t="str">
        <f t="shared" si="113"/>
        <v>funded</v>
      </c>
    </row>
    <row r="1204" spans="1:22" ht="48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8335</v>
      </c>
      <c r="R1204" t="s">
        <v>8336</v>
      </c>
      <c r="S1204" s="14">
        <f t="shared" si="110"/>
        <v>42152.288819444439</v>
      </c>
      <c r="T1204" s="14">
        <f t="shared" si="111"/>
        <v>42182.288819444439</v>
      </c>
      <c r="U1204" s="64">
        <f t="shared" si="112"/>
        <v>30</v>
      </c>
      <c r="V1204" s="13" t="str">
        <f t="shared" si="113"/>
        <v>funded</v>
      </c>
    </row>
    <row r="1205" spans="1:22" ht="48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8335</v>
      </c>
      <c r="R1205" t="s">
        <v>8336</v>
      </c>
      <c r="S1205" s="14">
        <f t="shared" si="110"/>
        <v>42125.614895833336</v>
      </c>
      <c r="T1205" s="14">
        <f t="shared" si="111"/>
        <v>42155.614895833336</v>
      </c>
      <c r="U1205" s="64">
        <f t="shared" si="112"/>
        <v>30</v>
      </c>
      <c r="V1205" s="13" t="str">
        <f t="shared" si="113"/>
        <v>funded</v>
      </c>
    </row>
    <row r="1206" spans="1:22" ht="48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8335</v>
      </c>
      <c r="R1206" t="s">
        <v>8336</v>
      </c>
      <c r="S1206" s="14">
        <f t="shared" si="110"/>
        <v>42297.748067129629</v>
      </c>
      <c r="T1206" s="14">
        <f t="shared" si="111"/>
        <v>42342.208333333328</v>
      </c>
      <c r="U1206" s="64">
        <f t="shared" si="112"/>
        <v>44.460266203699575</v>
      </c>
      <c r="V1206" s="13" t="str">
        <f t="shared" si="113"/>
        <v>funded</v>
      </c>
    </row>
    <row r="1207" spans="1:22" ht="48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8335</v>
      </c>
      <c r="R1207" t="s">
        <v>8336</v>
      </c>
      <c r="S1207" s="14">
        <f t="shared" si="110"/>
        <v>42138.506377314814</v>
      </c>
      <c r="T1207" s="14">
        <f t="shared" si="111"/>
        <v>42168.506377314814</v>
      </c>
      <c r="U1207" s="64">
        <f t="shared" si="112"/>
        <v>30</v>
      </c>
      <c r="V1207" s="13" t="str">
        <f t="shared" si="113"/>
        <v>funded</v>
      </c>
    </row>
    <row r="1208" spans="1:22" ht="48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8335</v>
      </c>
      <c r="R1208" t="s">
        <v>8336</v>
      </c>
      <c r="S1208" s="14">
        <f t="shared" si="110"/>
        <v>42772.776076388895</v>
      </c>
      <c r="T1208" s="14">
        <f t="shared" si="111"/>
        <v>42805.561805555553</v>
      </c>
      <c r="U1208" s="64">
        <f t="shared" si="112"/>
        <v>32.785729166658712</v>
      </c>
      <c r="V1208" s="13" t="str">
        <f t="shared" si="113"/>
        <v>funded</v>
      </c>
    </row>
    <row r="1209" spans="1:22" ht="3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8335</v>
      </c>
      <c r="R1209" t="s">
        <v>8336</v>
      </c>
      <c r="S1209" s="14">
        <f t="shared" si="110"/>
        <v>42430.430243055554</v>
      </c>
      <c r="T1209" s="14">
        <f t="shared" si="111"/>
        <v>42460.416666666672</v>
      </c>
      <c r="U1209" s="64">
        <f t="shared" si="112"/>
        <v>29.986423611117061</v>
      </c>
      <c r="V1209" s="13" t="str">
        <f t="shared" si="113"/>
        <v>funded</v>
      </c>
    </row>
    <row r="1210" spans="1:22" ht="48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8335</v>
      </c>
      <c r="R1210" t="s">
        <v>8336</v>
      </c>
      <c r="S1210" s="14">
        <f t="shared" si="110"/>
        <v>42423.709074074075</v>
      </c>
      <c r="T1210" s="14">
        <f t="shared" si="111"/>
        <v>42453.667407407411</v>
      </c>
      <c r="U1210" s="64">
        <f t="shared" si="112"/>
        <v>29.958333333335759</v>
      </c>
      <c r="V1210" s="13" t="str">
        <f t="shared" si="113"/>
        <v>funded</v>
      </c>
    </row>
    <row r="1211" spans="1:22" ht="48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8335</v>
      </c>
      <c r="R1211" t="s">
        <v>8336</v>
      </c>
      <c r="S1211" s="14">
        <f t="shared" si="110"/>
        <v>42761.846122685187</v>
      </c>
      <c r="T1211" s="14">
        <f t="shared" si="111"/>
        <v>42791.846122685187</v>
      </c>
      <c r="U1211" s="64">
        <f t="shared" si="112"/>
        <v>30</v>
      </c>
      <c r="V1211" s="13" t="str">
        <f t="shared" si="113"/>
        <v>funded</v>
      </c>
    </row>
    <row r="1212" spans="1:22" ht="3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8335</v>
      </c>
      <c r="R1212" t="s">
        <v>8336</v>
      </c>
      <c r="S1212" s="14">
        <f t="shared" si="110"/>
        <v>42132.941805555558</v>
      </c>
      <c r="T1212" s="14">
        <f t="shared" si="111"/>
        <v>42155.875</v>
      </c>
      <c r="U1212" s="64">
        <f t="shared" si="112"/>
        <v>22.933194444442051</v>
      </c>
      <c r="V1212" s="13" t="str">
        <f t="shared" si="113"/>
        <v>funded</v>
      </c>
    </row>
    <row r="1213" spans="1:22" ht="48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8335</v>
      </c>
      <c r="R1213" t="s">
        <v>8336</v>
      </c>
      <c r="S1213" s="14">
        <f t="shared" si="110"/>
        <v>42515.866446759261</v>
      </c>
      <c r="T1213" s="14">
        <f t="shared" si="111"/>
        <v>42530.866446759261</v>
      </c>
      <c r="U1213" s="64">
        <f t="shared" si="112"/>
        <v>15</v>
      </c>
      <c r="V1213" s="13" t="str">
        <f t="shared" si="113"/>
        <v>funded</v>
      </c>
    </row>
    <row r="1214" spans="1:22" ht="48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8335</v>
      </c>
      <c r="R1214" t="s">
        <v>8336</v>
      </c>
      <c r="S1214" s="14">
        <f t="shared" si="110"/>
        <v>42318.950173611112</v>
      </c>
      <c r="T1214" s="14">
        <f t="shared" si="111"/>
        <v>42335.041666666672</v>
      </c>
      <c r="U1214" s="64">
        <f t="shared" si="112"/>
        <v>16.091493055559113</v>
      </c>
      <c r="V1214" s="13" t="str">
        <f t="shared" si="113"/>
        <v>funded</v>
      </c>
    </row>
    <row r="1215" spans="1:22" ht="48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8335</v>
      </c>
      <c r="R1215" t="s">
        <v>8336</v>
      </c>
      <c r="S1215" s="14">
        <f t="shared" si="110"/>
        <v>42731.755787037036</v>
      </c>
      <c r="T1215" s="14">
        <f t="shared" si="111"/>
        <v>42766.755787037036</v>
      </c>
      <c r="U1215" s="64">
        <f t="shared" si="112"/>
        <v>35</v>
      </c>
      <c r="V1215" s="13" t="str">
        <f t="shared" si="113"/>
        <v>funded</v>
      </c>
    </row>
    <row r="1216" spans="1:22" ht="48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8335</v>
      </c>
      <c r="R1216" t="s">
        <v>8336</v>
      </c>
      <c r="S1216" s="14">
        <f t="shared" si="110"/>
        <v>42104.840335648143</v>
      </c>
      <c r="T1216" s="14">
        <f t="shared" si="111"/>
        <v>42164.840335648143</v>
      </c>
      <c r="U1216" s="64">
        <f t="shared" si="112"/>
        <v>60</v>
      </c>
      <c r="V1216" s="13" t="str">
        <f t="shared" si="113"/>
        <v>funded</v>
      </c>
    </row>
    <row r="1217" spans="1:22" ht="48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8335</v>
      </c>
      <c r="R1217" t="s">
        <v>8336</v>
      </c>
      <c r="S1217" s="14">
        <f t="shared" si="110"/>
        <v>41759.923101851848</v>
      </c>
      <c r="T1217" s="14">
        <f t="shared" si="111"/>
        <v>41789.923101851848</v>
      </c>
      <c r="U1217" s="64">
        <f t="shared" si="112"/>
        <v>30</v>
      </c>
      <c r="V1217" s="13" t="str">
        <f t="shared" si="113"/>
        <v>funded</v>
      </c>
    </row>
    <row r="1218" spans="1:22" ht="3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>
        <f t="shared" si="109"/>
        <v>91.88</v>
      </c>
      <c r="Q1218" s="10" t="s">
        <v>8335</v>
      </c>
      <c r="R1218" t="s">
        <v>8336</v>
      </c>
      <c r="S1218" s="14">
        <f t="shared" si="110"/>
        <v>42247.616400462968</v>
      </c>
      <c r="T1218" s="14">
        <f t="shared" si="111"/>
        <v>42279.960416666669</v>
      </c>
      <c r="U1218" s="64">
        <f t="shared" si="112"/>
        <v>32.344016203700448</v>
      </c>
      <c r="V1218" s="13" t="str">
        <f t="shared" si="113"/>
        <v>funded</v>
      </c>
    </row>
    <row r="1219" spans="1:22" ht="48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ROUND(E1219/D1219*100,0)</f>
        <v>103</v>
      </c>
      <c r="P1219">
        <f t="shared" ref="P1219:P1282" si="115">IFERROR(ROUND(E1219/L1219,2), 0)</f>
        <v>148.57</v>
      </c>
      <c r="Q1219" s="10" t="s">
        <v>8335</v>
      </c>
      <c r="R1219" t="s">
        <v>8336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 s="64">
        <f t="shared" ref="U1219:V1282" si="118">T1219-S1219</f>
        <v>30</v>
      </c>
      <c r="V1219" s="13" t="str">
        <f t="shared" ref="V1219:V1282" si="119">IF(E1219&gt;=D1219, "funded", "underfunded")</f>
        <v>funded</v>
      </c>
    </row>
    <row r="1220" spans="1:22" ht="48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8335</v>
      </c>
      <c r="R1220" t="s">
        <v>8336</v>
      </c>
      <c r="S1220" s="14">
        <f t="shared" si="116"/>
        <v>42278.662037037036</v>
      </c>
      <c r="T1220" s="14">
        <f t="shared" si="117"/>
        <v>42309.125</v>
      </c>
      <c r="U1220" s="64">
        <f t="shared" si="118"/>
        <v>30.462962962963502</v>
      </c>
      <c r="V1220" s="13" t="str">
        <f t="shared" si="119"/>
        <v>funded</v>
      </c>
    </row>
    <row r="1221" spans="1:22" ht="3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8335</v>
      </c>
      <c r="R1221" t="s">
        <v>8336</v>
      </c>
      <c r="S1221" s="14">
        <f t="shared" si="116"/>
        <v>42633.461956018517</v>
      </c>
      <c r="T1221" s="14">
        <f t="shared" si="117"/>
        <v>42663.461956018517</v>
      </c>
      <c r="U1221" s="64">
        <f t="shared" si="118"/>
        <v>30</v>
      </c>
      <c r="V1221" s="13" t="str">
        <f t="shared" si="119"/>
        <v>funded</v>
      </c>
    </row>
    <row r="1222" spans="1:22" ht="48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8335</v>
      </c>
      <c r="R1222" t="s">
        <v>8336</v>
      </c>
      <c r="S1222" s="14">
        <f t="shared" si="116"/>
        <v>42211.628611111111</v>
      </c>
      <c r="T1222" s="14">
        <f t="shared" si="117"/>
        <v>42241.628611111111</v>
      </c>
      <c r="U1222" s="64">
        <f t="shared" si="118"/>
        <v>30</v>
      </c>
      <c r="V1222" s="13" t="str">
        <f t="shared" si="119"/>
        <v>funded</v>
      </c>
    </row>
    <row r="1223" spans="1:22" ht="48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8335</v>
      </c>
      <c r="R1223" t="s">
        <v>8336</v>
      </c>
      <c r="S1223" s="14">
        <f t="shared" si="116"/>
        <v>42680.47555555556</v>
      </c>
      <c r="T1223" s="14">
        <f t="shared" si="117"/>
        <v>42708</v>
      </c>
      <c r="U1223" s="64">
        <f t="shared" si="118"/>
        <v>27.524444444439723</v>
      </c>
      <c r="V1223" s="13" t="str">
        <f t="shared" si="119"/>
        <v>funded</v>
      </c>
    </row>
    <row r="1224" spans="1:22" ht="3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8335</v>
      </c>
      <c r="R1224" t="s">
        <v>8336</v>
      </c>
      <c r="S1224" s="14">
        <f t="shared" si="116"/>
        <v>42430.720451388886</v>
      </c>
      <c r="T1224" s="14">
        <f t="shared" si="117"/>
        <v>42461.166666666672</v>
      </c>
      <c r="U1224" s="64">
        <f t="shared" si="118"/>
        <v>30.446215277785086</v>
      </c>
      <c r="V1224" s="13" t="str">
        <f t="shared" si="119"/>
        <v>funded</v>
      </c>
    </row>
    <row r="1225" spans="1:22" ht="3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8335</v>
      </c>
      <c r="R1225" t="s">
        <v>8336</v>
      </c>
      <c r="S1225" s="14">
        <f t="shared" si="116"/>
        <v>42654.177187499998</v>
      </c>
      <c r="T1225" s="14">
        <f t="shared" si="117"/>
        <v>42684.218854166669</v>
      </c>
      <c r="U1225" s="64">
        <f t="shared" si="118"/>
        <v>30.041666666671517</v>
      </c>
      <c r="V1225" s="13" t="str">
        <f t="shared" si="119"/>
        <v>funded</v>
      </c>
    </row>
    <row r="1226" spans="1:22" ht="3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8322</v>
      </c>
      <c r="R1226" t="s">
        <v>8337</v>
      </c>
      <c r="S1226" s="14">
        <f t="shared" si="116"/>
        <v>41736.549791666665</v>
      </c>
      <c r="T1226" s="14">
        <f t="shared" si="117"/>
        <v>41796.549791666665</v>
      </c>
      <c r="U1226" s="64">
        <f t="shared" si="118"/>
        <v>60</v>
      </c>
      <c r="V1226" s="13" t="str">
        <f t="shared" si="119"/>
        <v>underfunded</v>
      </c>
    </row>
    <row r="1227" spans="1:22" ht="48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8322</v>
      </c>
      <c r="R1227" t="s">
        <v>8337</v>
      </c>
      <c r="S1227" s="14">
        <f t="shared" si="116"/>
        <v>41509.905995370369</v>
      </c>
      <c r="T1227" s="14">
        <f t="shared" si="117"/>
        <v>41569.905995370369</v>
      </c>
      <c r="U1227" s="64">
        <f t="shared" si="118"/>
        <v>60</v>
      </c>
      <c r="V1227" s="13" t="str">
        <f t="shared" si="119"/>
        <v>underfunded</v>
      </c>
    </row>
    <row r="1228" spans="1:22" ht="48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8322</v>
      </c>
      <c r="R1228" t="s">
        <v>8337</v>
      </c>
      <c r="S1228" s="14">
        <f t="shared" si="116"/>
        <v>41715.874780092592</v>
      </c>
      <c r="T1228" s="14">
        <f t="shared" si="117"/>
        <v>41750.041666666664</v>
      </c>
      <c r="U1228" s="64">
        <f t="shared" si="118"/>
        <v>34.166886574072123</v>
      </c>
      <c r="V1228" s="13" t="str">
        <f t="shared" si="119"/>
        <v>underfunded</v>
      </c>
    </row>
    <row r="1229" spans="1:22" ht="48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0" t="s">
        <v>8322</v>
      </c>
      <c r="R1229" t="s">
        <v>8337</v>
      </c>
      <c r="S1229" s="14">
        <f t="shared" si="116"/>
        <v>41827.919166666667</v>
      </c>
      <c r="T1229" s="14">
        <f t="shared" si="117"/>
        <v>41858.291666666664</v>
      </c>
      <c r="U1229" s="64">
        <f t="shared" si="118"/>
        <v>30.372499999997672</v>
      </c>
      <c r="V1229" s="13" t="str">
        <f t="shared" si="119"/>
        <v>underfunded</v>
      </c>
    </row>
    <row r="1230" spans="1:22" ht="3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8322</v>
      </c>
      <c r="R1230" t="s">
        <v>8337</v>
      </c>
      <c r="S1230" s="14">
        <f t="shared" si="116"/>
        <v>40754.729259259257</v>
      </c>
      <c r="T1230" s="14">
        <f t="shared" si="117"/>
        <v>40814.729259259257</v>
      </c>
      <c r="U1230" s="64">
        <f t="shared" si="118"/>
        <v>60</v>
      </c>
      <c r="V1230" s="13" t="str">
        <f t="shared" si="119"/>
        <v>underfunded</v>
      </c>
    </row>
    <row r="1231" spans="1:22" ht="48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8322</v>
      </c>
      <c r="R1231" t="s">
        <v>8337</v>
      </c>
      <c r="S1231" s="14">
        <f t="shared" si="116"/>
        <v>40985.459803240738</v>
      </c>
      <c r="T1231" s="14">
        <f t="shared" si="117"/>
        <v>41015.666666666664</v>
      </c>
      <c r="U1231" s="64">
        <f t="shared" si="118"/>
        <v>30.206863425926713</v>
      </c>
      <c r="V1231" s="13" t="str">
        <f t="shared" si="119"/>
        <v>underfunded</v>
      </c>
    </row>
    <row r="1232" spans="1:22" ht="48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0" t="s">
        <v>8322</v>
      </c>
      <c r="R1232" t="s">
        <v>8337</v>
      </c>
      <c r="S1232" s="14">
        <f t="shared" si="116"/>
        <v>40568.972569444442</v>
      </c>
      <c r="T1232" s="14">
        <f t="shared" si="117"/>
        <v>40598.972569444442</v>
      </c>
      <c r="U1232" s="64">
        <f t="shared" si="118"/>
        <v>30</v>
      </c>
      <c r="V1232" s="13" t="str">
        <f t="shared" si="119"/>
        <v>underfunded</v>
      </c>
    </row>
    <row r="1233" spans="1:22" ht="48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0" t="s">
        <v>8322</v>
      </c>
      <c r="R1233" t="s">
        <v>8337</v>
      </c>
      <c r="S1233" s="14">
        <f t="shared" si="116"/>
        <v>42193.941759259258</v>
      </c>
      <c r="T1233" s="14">
        <f t="shared" si="117"/>
        <v>42244.041666666672</v>
      </c>
      <c r="U1233" s="64">
        <f t="shared" si="118"/>
        <v>50.099907407413411</v>
      </c>
      <c r="V1233" s="13" t="str">
        <f t="shared" si="119"/>
        <v>underfunded</v>
      </c>
    </row>
    <row r="1234" spans="1:22" ht="48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8322</v>
      </c>
      <c r="R1234" t="s">
        <v>8337</v>
      </c>
      <c r="S1234" s="14">
        <f t="shared" si="116"/>
        <v>41506.848032407412</v>
      </c>
      <c r="T1234" s="14">
        <f t="shared" si="117"/>
        <v>41553.848032407412</v>
      </c>
      <c r="U1234" s="64">
        <f t="shared" si="118"/>
        <v>47</v>
      </c>
      <c r="V1234" s="13" t="str">
        <f t="shared" si="119"/>
        <v>underfunded</v>
      </c>
    </row>
    <row r="1235" spans="1:22" ht="48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8322</v>
      </c>
      <c r="R1235" t="s">
        <v>8337</v>
      </c>
      <c r="S1235" s="14">
        <f t="shared" si="116"/>
        <v>40939.948773148149</v>
      </c>
      <c r="T1235" s="14">
        <f t="shared" si="117"/>
        <v>40960.948773148149</v>
      </c>
      <c r="U1235" s="64">
        <f t="shared" si="118"/>
        <v>21</v>
      </c>
      <c r="V1235" s="13" t="str">
        <f t="shared" si="119"/>
        <v>underfunded</v>
      </c>
    </row>
    <row r="1236" spans="1:22" ht="48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0" t="s">
        <v>8322</v>
      </c>
      <c r="R1236" t="s">
        <v>8337</v>
      </c>
      <c r="S1236" s="14">
        <f t="shared" si="116"/>
        <v>42007.788680555561</v>
      </c>
      <c r="T1236" s="14">
        <f t="shared" si="117"/>
        <v>42037.788680555561</v>
      </c>
      <c r="U1236" s="64">
        <f t="shared" si="118"/>
        <v>30</v>
      </c>
      <c r="V1236" s="13" t="str">
        <f t="shared" si="119"/>
        <v>underfunded</v>
      </c>
    </row>
    <row r="1237" spans="1:22" ht="48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8322</v>
      </c>
      <c r="R1237" t="s">
        <v>8337</v>
      </c>
      <c r="S1237" s="14">
        <f t="shared" si="116"/>
        <v>41583.135405092595</v>
      </c>
      <c r="T1237" s="14">
        <f t="shared" si="117"/>
        <v>41623.135405092595</v>
      </c>
      <c r="U1237" s="64">
        <f t="shared" si="118"/>
        <v>40</v>
      </c>
      <c r="V1237" s="13" t="str">
        <f t="shared" si="119"/>
        <v>underfunded</v>
      </c>
    </row>
    <row r="1238" spans="1:22" ht="16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0" t="s">
        <v>8322</v>
      </c>
      <c r="R1238" t="s">
        <v>8337</v>
      </c>
      <c r="S1238" s="14">
        <f t="shared" si="116"/>
        <v>41110.680138888885</v>
      </c>
      <c r="T1238" s="14">
        <f t="shared" si="117"/>
        <v>41118.666666666664</v>
      </c>
      <c r="U1238" s="64">
        <f t="shared" si="118"/>
        <v>7.9865277777789743</v>
      </c>
      <c r="V1238" s="13" t="str">
        <f t="shared" si="119"/>
        <v>underfunded</v>
      </c>
    </row>
    <row r="1239" spans="1:22" ht="48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0" t="s">
        <v>8322</v>
      </c>
      <c r="R1239" t="s">
        <v>8337</v>
      </c>
      <c r="S1239" s="14">
        <f t="shared" si="116"/>
        <v>41125.283159722225</v>
      </c>
      <c r="T1239" s="14">
        <f t="shared" si="117"/>
        <v>41145.283159722225</v>
      </c>
      <c r="U1239" s="64">
        <f t="shared" si="118"/>
        <v>20</v>
      </c>
      <c r="V1239" s="13" t="str">
        <f t="shared" si="119"/>
        <v>underfunded</v>
      </c>
    </row>
    <row r="1240" spans="1:22" ht="48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8322</v>
      </c>
      <c r="R1240" t="s">
        <v>8337</v>
      </c>
      <c r="S1240" s="14">
        <f t="shared" si="116"/>
        <v>40731.61037037037</v>
      </c>
      <c r="T1240" s="14">
        <f t="shared" si="117"/>
        <v>40761.61037037037</v>
      </c>
      <c r="U1240" s="64">
        <f t="shared" si="118"/>
        <v>30</v>
      </c>
      <c r="V1240" s="13" t="str">
        <f t="shared" si="119"/>
        <v>underfunded</v>
      </c>
    </row>
    <row r="1241" spans="1:22" ht="3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0" t="s">
        <v>8322</v>
      </c>
      <c r="R1241" t="s">
        <v>8337</v>
      </c>
      <c r="S1241" s="14">
        <f t="shared" si="116"/>
        <v>40883.962581018517</v>
      </c>
      <c r="T1241" s="14">
        <f t="shared" si="117"/>
        <v>40913.962581018517</v>
      </c>
      <c r="U1241" s="64">
        <f t="shared" si="118"/>
        <v>30</v>
      </c>
      <c r="V1241" s="13" t="str">
        <f t="shared" si="119"/>
        <v>underfunded</v>
      </c>
    </row>
    <row r="1242" spans="1:22" ht="3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8322</v>
      </c>
      <c r="R1242" t="s">
        <v>8337</v>
      </c>
      <c r="S1242" s="14">
        <f t="shared" si="116"/>
        <v>41409.040011574078</v>
      </c>
      <c r="T1242" s="14">
        <f t="shared" si="117"/>
        <v>41467.910416666666</v>
      </c>
      <c r="U1242" s="64">
        <f t="shared" si="118"/>
        <v>58.870405092588044</v>
      </c>
      <c r="V1242" s="13" t="str">
        <f t="shared" si="119"/>
        <v>underfunded</v>
      </c>
    </row>
    <row r="1243" spans="1:22" ht="48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8322</v>
      </c>
      <c r="R1243" t="s">
        <v>8337</v>
      </c>
      <c r="S1243" s="14">
        <f t="shared" si="116"/>
        <v>41923.837731481479</v>
      </c>
      <c r="T1243" s="14">
        <f t="shared" si="117"/>
        <v>41946.249305555553</v>
      </c>
      <c r="U1243" s="64">
        <f t="shared" si="118"/>
        <v>22.411574074074451</v>
      </c>
      <c r="V1243" s="13" t="str">
        <f t="shared" si="119"/>
        <v>underfunded</v>
      </c>
    </row>
    <row r="1244" spans="1:22" ht="48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8322</v>
      </c>
      <c r="R1244" t="s">
        <v>8337</v>
      </c>
      <c r="S1244" s="14">
        <f t="shared" si="116"/>
        <v>40782.165532407409</v>
      </c>
      <c r="T1244" s="14">
        <f t="shared" si="117"/>
        <v>40797.554166666669</v>
      </c>
      <c r="U1244" s="64">
        <f t="shared" si="118"/>
        <v>15.388634259259561</v>
      </c>
      <c r="V1244" s="13" t="str">
        <f t="shared" si="119"/>
        <v>underfunded</v>
      </c>
    </row>
    <row r="1245" spans="1:22" ht="48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8322</v>
      </c>
      <c r="R1245" t="s">
        <v>8337</v>
      </c>
      <c r="S1245" s="14">
        <f t="shared" si="116"/>
        <v>40671.879293981481</v>
      </c>
      <c r="T1245" s="14">
        <f t="shared" si="117"/>
        <v>40732.875</v>
      </c>
      <c r="U1245" s="64">
        <f t="shared" si="118"/>
        <v>60.995706018518831</v>
      </c>
      <c r="V1245" s="13" t="str">
        <f t="shared" si="119"/>
        <v>underfunded</v>
      </c>
    </row>
    <row r="1246" spans="1:22" ht="48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8322</v>
      </c>
      <c r="R1246" t="s">
        <v>8323</v>
      </c>
      <c r="S1246" s="14">
        <f t="shared" si="116"/>
        <v>41355.825497685182</v>
      </c>
      <c r="T1246" s="14">
        <f t="shared" si="117"/>
        <v>41386.875</v>
      </c>
      <c r="U1246" s="64">
        <f t="shared" si="118"/>
        <v>31.049502314817801</v>
      </c>
      <c r="V1246" s="13" t="str">
        <f t="shared" si="119"/>
        <v>funded</v>
      </c>
    </row>
    <row r="1247" spans="1:22" ht="48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8322</v>
      </c>
      <c r="R1247" t="s">
        <v>8323</v>
      </c>
      <c r="S1247" s="14">
        <f t="shared" si="116"/>
        <v>41774.599930555552</v>
      </c>
      <c r="T1247" s="14">
        <f t="shared" si="117"/>
        <v>41804.599930555552</v>
      </c>
      <c r="U1247" s="64">
        <f t="shared" si="118"/>
        <v>30</v>
      </c>
      <c r="V1247" s="13" t="str">
        <f t="shared" si="119"/>
        <v>funded</v>
      </c>
    </row>
    <row r="1248" spans="1:22" ht="48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8322</v>
      </c>
      <c r="R1248" t="s">
        <v>8323</v>
      </c>
      <c r="S1248" s="14">
        <f t="shared" si="116"/>
        <v>40838.043391203704</v>
      </c>
      <c r="T1248" s="14">
        <f t="shared" si="117"/>
        <v>40883.085057870368</v>
      </c>
      <c r="U1248" s="64">
        <f t="shared" si="118"/>
        <v>45.041666666664241</v>
      </c>
      <c r="V1248" s="13" t="str">
        <f t="shared" si="119"/>
        <v>funded</v>
      </c>
    </row>
    <row r="1249" spans="1:22" ht="3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8322</v>
      </c>
      <c r="R1249" t="s">
        <v>8323</v>
      </c>
      <c r="S1249" s="14">
        <f t="shared" si="116"/>
        <v>41370.292303240742</v>
      </c>
      <c r="T1249" s="14">
        <f t="shared" si="117"/>
        <v>41400.292303240742</v>
      </c>
      <c r="U1249" s="64">
        <f t="shared" si="118"/>
        <v>30</v>
      </c>
      <c r="V1249" s="13" t="str">
        <f t="shared" si="119"/>
        <v>funded</v>
      </c>
    </row>
    <row r="1250" spans="1:22" ht="3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8322</v>
      </c>
      <c r="R1250" t="s">
        <v>8323</v>
      </c>
      <c r="S1250" s="14">
        <f t="shared" si="116"/>
        <v>41767.656863425924</v>
      </c>
      <c r="T1250" s="14">
        <f t="shared" si="117"/>
        <v>41803.290972222225</v>
      </c>
      <c r="U1250" s="64">
        <f t="shared" si="118"/>
        <v>35.634108796301007</v>
      </c>
      <c r="V1250" s="13" t="str">
        <f t="shared" si="119"/>
        <v>funded</v>
      </c>
    </row>
    <row r="1251" spans="1:22" ht="48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8322</v>
      </c>
      <c r="R1251" t="s">
        <v>8323</v>
      </c>
      <c r="S1251" s="14">
        <f t="shared" si="116"/>
        <v>41067.74086805556</v>
      </c>
      <c r="T1251" s="14">
        <f t="shared" si="117"/>
        <v>41097.74086805556</v>
      </c>
      <c r="U1251" s="64">
        <f t="shared" si="118"/>
        <v>30</v>
      </c>
      <c r="V1251" s="13" t="str">
        <f t="shared" si="119"/>
        <v>funded</v>
      </c>
    </row>
    <row r="1252" spans="1:22" ht="48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8322</v>
      </c>
      <c r="R1252" t="s">
        <v>8323</v>
      </c>
      <c r="S1252" s="14">
        <f t="shared" si="116"/>
        <v>41843.64271990741</v>
      </c>
      <c r="T1252" s="14">
        <f t="shared" si="117"/>
        <v>41888.64271990741</v>
      </c>
      <c r="U1252" s="64">
        <f t="shared" si="118"/>
        <v>45</v>
      </c>
      <c r="V1252" s="13" t="str">
        <f t="shared" si="119"/>
        <v>funded</v>
      </c>
    </row>
    <row r="1253" spans="1:22" ht="3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8322</v>
      </c>
      <c r="R1253" t="s">
        <v>8323</v>
      </c>
      <c r="S1253" s="14">
        <f t="shared" si="116"/>
        <v>40751.814432870371</v>
      </c>
      <c r="T1253" s="14">
        <f t="shared" si="117"/>
        <v>40811.814432870371</v>
      </c>
      <c r="U1253" s="64">
        <f t="shared" si="118"/>
        <v>60</v>
      </c>
      <c r="V1253" s="13" t="str">
        <f t="shared" si="119"/>
        <v>funded</v>
      </c>
    </row>
    <row r="1254" spans="1:22" ht="48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8322</v>
      </c>
      <c r="R1254" t="s">
        <v>8323</v>
      </c>
      <c r="S1254" s="14">
        <f t="shared" si="116"/>
        <v>41543.988067129627</v>
      </c>
      <c r="T1254" s="14">
        <f t="shared" si="117"/>
        <v>41571.988067129627</v>
      </c>
      <c r="U1254" s="64">
        <f t="shared" si="118"/>
        <v>28</v>
      </c>
      <c r="V1254" s="13" t="str">
        <f t="shared" si="119"/>
        <v>funded</v>
      </c>
    </row>
    <row r="1255" spans="1:22" ht="48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8322</v>
      </c>
      <c r="R1255" t="s">
        <v>8323</v>
      </c>
      <c r="S1255" s="14">
        <f t="shared" si="116"/>
        <v>41855.783645833333</v>
      </c>
      <c r="T1255" s="14">
        <f t="shared" si="117"/>
        <v>41885.783645833333</v>
      </c>
      <c r="U1255" s="64">
        <f t="shared" si="118"/>
        <v>30</v>
      </c>
      <c r="V1255" s="13" t="str">
        <f t="shared" si="119"/>
        <v>funded</v>
      </c>
    </row>
    <row r="1256" spans="1:22" ht="48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8322</v>
      </c>
      <c r="R1256" t="s">
        <v>8323</v>
      </c>
      <c r="S1256" s="14">
        <f t="shared" si="116"/>
        <v>40487.621365740742</v>
      </c>
      <c r="T1256" s="14">
        <f t="shared" si="117"/>
        <v>40544.207638888889</v>
      </c>
      <c r="U1256" s="64">
        <f t="shared" si="118"/>
        <v>56.586273148146574</v>
      </c>
      <c r="V1256" s="13" t="str">
        <f t="shared" si="119"/>
        <v>funded</v>
      </c>
    </row>
    <row r="1257" spans="1:22" ht="48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8322</v>
      </c>
      <c r="R1257" t="s">
        <v>8323</v>
      </c>
      <c r="S1257" s="14">
        <f t="shared" si="116"/>
        <v>41579.845509259263</v>
      </c>
      <c r="T1257" s="14">
        <f t="shared" si="117"/>
        <v>41609.887175925927</v>
      </c>
      <c r="U1257" s="64">
        <f t="shared" si="118"/>
        <v>30.041666666664241</v>
      </c>
      <c r="V1257" s="13" t="str">
        <f t="shared" si="119"/>
        <v>funded</v>
      </c>
    </row>
    <row r="1258" spans="1:22" ht="48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8322</v>
      </c>
      <c r="R1258" t="s">
        <v>8323</v>
      </c>
      <c r="S1258" s="14">
        <f t="shared" si="116"/>
        <v>40921.919340277782</v>
      </c>
      <c r="T1258" s="14">
        <f t="shared" si="117"/>
        <v>40951.919340277782</v>
      </c>
      <c r="U1258" s="64">
        <f t="shared" si="118"/>
        <v>30</v>
      </c>
      <c r="V1258" s="13" t="str">
        <f t="shared" si="119"/>
        <v>funded</v>
      </c>
    </row>
    <row r="1259" spans="1:22" ht="48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8322</v>
      </c>
      <c r="R1259" t="s">
        <v>8323</v>
      </c>
      <c r="S1259" s="14">
        <f t="shared" si="116"/>
        <v>40587.085532407407</v>
      </c>
      <c r="T1259" s="14">
        <f t="shared" si="117"/>
        <v>40636.043865740743</v>
      </c>
      <c r="U1259" s="64">
        <f t="shared" si="118"/>
        <v>48.958333333335759</v>
      </c>
      <c r="V1259" s="13" t="str">
        <f t="shared" si="119"/>
        <v>funded</v>
      </c>
    </row>
    <row r="1260" spans="1:22" ht="48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8322</v>
      </c>
      <c r="R1260" t="s">
        <v>8323</v>
      </c>
      <c r="S1260" s="14">
        <f t="shared" si="116"/>
        <v>41487.611250000002</v>
      </c>
      <c r="T1260" s="14">
        <f t="shared" si="117"/>
        <v>41517.611250000002</v>
      </c>
      <c r="U1260" s="64">
        <f t="shared" si="118"/>
        <v>30</v>
      </c>
      <c r="V1260" s="13" t="str">
        <f t="shared" si="119"/>
        <v>funded</v>
      </c>
    </row>
    <row r="1261" spans="1:22" ht="3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8322</v>
      </c>
      <c r="R1261" t="s">
        <v>8323</v>
      </c>
      <c r="S1261" s="14">
        <f t="shared" si="116"/>
        <v>41766.970648148148</v>
      </c>
      <c r="T1261" s="14">
        <f t="shared" si="117"/>
        <v>41799.165972222225</v>
      </c>
      <c r="U1261" s="64">
        <f t="shared" si="118"/>
        <v>32.19532407407678</v>
      </c>
      <c r="V1261" s="13" t="str">
        <f t="shared" si="119"/>
        <v>funded</v>
      </c>
    </row>
    <row r="1262" spans="1:22" ht="48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8322</v>
      </c>
      <c r="R1262" t="s">
        <v>8323</v>
      </c>
      <c r="S1262" s="14">
        <f t="shared" si="116"/>
        <v>41666.842824074076</v>
      </c>
      <c r="T1262" s="14">
        <f t="shared" si="117"/>
        <v>41696.842824074076</v>
      </c>
      <c r="U1262" s="64">
        <f t="shared" si="118"/>
        <v>30</v>
      </c>
      <c r="V1262" s="13" t="str">
        <f t="shared" si="119"/>
        <v>funded</v>
      </c>
    </row>
    <row r="1263" spans="1:22" ht="3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8322</v>
      </c>
      <c r="R1263" t="s">
        <v>8323</v>
      </c>
      <c r="S1263" s="14">
        <f t="shared" si="116"/>
        <v>41638.342905092592</v>
      </c>
      <c r="T1263" s="14">
        <f t="shared" si="117"/>
        <v>41668.342905092592</v>
      </c>
      <c r="U1263" s="64">
        <f t="shared" si="118"/>
        <v>30</v>
      </c>
      <c r="V1263" s="13" t="str">
        <f t="shared" si="119"/>
        <v>funded</v>
      </c>
    </row>
    <row r="1264" spans="1:22" ht="48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8322</v>
      </c>
      <c r="R1264" t="s">
        <v>8323</v>
      </c>
      <c r="S1264" s="14">
        <f t="shared" si="116"/>
        <v>41656.762638888889</v>
      </c>
      <c r="T1264" s="14">
        <f t="shared" si="117"/>
        <v>41686.762638888889</v>
      </c>
      <c r="U1264" s="64">
        <f t="shared" si="118"/>
        <v>30</v>
      </c>
      <c r="V1264" s="13" t="str">
        <f t="shared" si="119"/>
        <v>funded</v>
      </c>
    </row>
    <row r="1265" spans="1:22" ht="3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8322</v>
      </c>
      <c r="R1265" t="s">
        <v>8323</v>
      </c>
      <c r="S1265" s="14">
        <f t="shared" si="116"/>
        <v>41692.084143518521</v>
      </c>
      <c r="T1265" s="14">
        <f t="shared" si="117"/>
        <v>41727.041666666664</v>
      </c>
      <c r="U1265" s="64">
        <f t="shared" si="118"/>
        <v>34.957523148143082</v>
      </c>
      <c r="V1265" s="13" t="str">
        <f t="shared" si="119"/>
        <v>funded</v>
      </c>
    </row>
    <row r="1266" spans="1:22" ht="48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8322</v>
      </c>
      <c r="R1266" t="s">
        <v>8323</v>
      </c>
      <c r="S1266" s="14">
        <f t="shared" si="116"/>
        <v>41547.662997685184</v>
      </c>
      <c r="T1266" s="14">
        <f t="shared" si="117"/>
        <v>41576.662997685184</v>
      </c>
      <c r="U1266" s="64">
        <f t="shared" si="118"/>
        <v>29</v>
      </c>
      <c r="V1266" s="13" t="str">
        <f t="shared" si="119"/>
        <v>funded</v>
      </c>
    </row>
    <row r="1267" spans="1:22" ht="6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8322</v>
      </c>
      <c r="R1267" t="s">
        <v>8323</v>
      </c>
      <c r="S1267" s="14">
        <f t="shared" si="116"/>
        <v>40465.655266203699</v>
      </c>
      <c r="T1267" s="14">
        <f t="shared" si="117"/>
        <v>40512.655266203699</v>
      </c>
      <c r="U1267" s="64">
        <f t="shared" si="118"/>
        <v>47</v>
      </c>
      <c r="V1267" s="13" t="str">
        <f t="shared" si="119"/>
        <v>funded</v>
      </c>
    </row>
    <row r="1268" spans="1:22" ht="3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8322</v>
      </c>
      <c r="R1268" t="s">
        <v>8323</v>
      </c>
      <c r="S1268" s="14">
        <f t="shared" si="116"/>
        <v>41620.87667824074</v>
      </c>
      <c r="T1268" s="14">
        <f t="shared" si="117"/>
        <v>41650.87667824074</v>
      </c>
      <c r="U1268" s="64">
        <f t="shared" si="118"/>
        <v>30</v>
      </c>
      <c r="V1268" s="13" t="str">
        <f t="shared" si="119"/>
        <v>funded</v>
      </c>
    </row>
    <row r="1269" spans="1:22" ht="48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8322</v>
      </c>
      <c r="R1269" t="s">
        <v>8323</v>
      </c>
      <c r="S1269" s="14">
        <f t="shared" si="116"/>
        <v>41449.585162037038</v>
      </c>
      <c r="T1269" s="14">
        <f t="shared" si="117"/>
        <v>41479.585162037038</v>
      </c>
      <c r="U1269" s="64">
        <f t="shared" si="118"/>
        <v>30</v>
      </c>
      <c r="V1269" s="13" t="str">
        <f t="shared" si="119"/>
        <v>funded</v>
      </c>
    </row>
    <row r="1270" spans="1:22" ht="3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8322</v>
      </c>
      <c r="R1270" t="s">
        <v>8323</v>
      </c>
      <c r="S1270" s="14">
        <f t="shared" si="116"/>
        <v>41507.845451388886</v>
      </c>
      <c r="T1270" s="14">
        <f t="shared" si="117"/>
        <v>41537.845451388886</v>
      </c>
      <c r="U1270" s="64">
        <f t="shared" si="118"/>
        <v>30</v>
      </c>
      <c r="V1270" s="13" t="str">
        <f t="shared" si="119"/>
        <v>funded</v>
      </c>
    </row>
    <row r="1271" spans="1:22" ht="48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8322</v>
      </c>
      <c r="R1271" t="s">
        <v>8323</v>
      </c>
      <c r="S1271" s="14">
        <f t="shared" si="116"/>
        <v>42445.823055555549</v>
      </c>
      <c r="T1271" s="14">
        <f t="shared" si="117"/>
        <v>42476</v>
      </c>
      <c r="U1271" s="64">
        <f t="shared" si="118"/>
        <v>30.176944444450783</v>
      </c>
      <c r="V1271" s="13" t="str">
        <f t="shared" si="119"/>
        <v>funded</v>
      </c>
    </row>
    <row r="1272" spans="1:22" ht="3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8322</v>
      </c>
      <c r="R1272" t="s">
        <v>8323</v>
      </c>
      <c r="S1272" s="14">
        <f t="shared" si="116"/>
        <v>40933.856967592597</v>
      </c>
      <c r="T1272" s="14">
        <f t="shared" si="117"/>
        <v>40993.815300925926</v>
      </c>
      <c r="U1272" s="64">
        <f t="shared" si="118"/>
        <v>59.958333333328483</v>
      </c>
      <c r="V1272" s="13" t="str">
        <f t="shared" si="119"/>
        <v>funded</v>
      </c>
    </row>
    <row r="1273" spans="1:22" ht="48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8322</v>
      </c>
      <c r="R1273" t="s">
        <v>8323</v>
      </c>
      <c r="S1273" s="14">
        <f t="shared" si="116"/>
        <v>41561.683553240742</v>
      </c>
      <c r="T1273" s="14">
        <f t="shared" si="117"/>
        <v>41591.725219907406</v>
      </c>
      <c r="U1273" s="64">
        <f t="shared" si="118"/>
        <v>30.041666666664241</v>
      </c>
      <c r="V1273" s="13" t="str">
        <f t="shared" si="119"/>
        <v>funded</v>
      </c>
    </row>
    <row r="1274" spans="1:22" ht="48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8322</v>
      </c>
      <c r="R1274" t="s">
        <v>8323</v>
      </c>
      <c r="S1274" s="14">
        <f t="shared" si="116"/>
        <v>40274.745127314818</v>
      </c>
      <c r="T1274" s="14">
        <f t="shared" si="117"/>
        <v>40344.166666666664</v>
      </c>
      <c r="U1274" s="64">
        <f t="shared" si="118"/>
        <v>69.42153935184615</v>
      </c>
      <c r="V1274" s="13" t="str">
        <f t="shared" si="119"/>
        <v>funded</v>
      </c>
    </row>
    <row r="1275" spans="1:22" ht="3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8322</v>
      </c>
      <c r="R1275" t="s">
        <v>8323</v>
      </c>
      <c r="S1275" s="14">
        <f t="shared" si="116"/>
        <v>41852.730219907404</v>
      </c>
      <c r="T1275" s="14">
        <f t="shared" si="117"/>
        <v>41882.730219907404</v>
      </c>
      <c r="U1275" s="64">
        <f t="shared" si="118"/>
        <v>30</v>
      </c>
      <c r="V1275" s="13" t="str">
        <f t="shared" si="119"/>
        <v>funded</v>
      </c>
    </row>
    <row r="1276" spans="1:22" ht="48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8322</v>
      </c>
      <c r="R1276" t="s">
        <v>8323</v>
      </c>
      <c r="S1276" s="14">
        <f t="shared" si="116"/>
        <v>41116.690104166664</v>
      </c>
      <c r="T1276" s="14">
        <f t="shared" si="117"/>
        <v>41151.690104166664</v>
      </c>
      <c r="U1276" s="64">
        <f t="shared" si="118"/>
        <v>35</v>
      </c>
      <c r="V1276" s="13" t="str">
        <f t="shared" si="119"/>
        <v>funded</v>
      </c>
    </row>
    <row r="1277" spans="1:22" ht="48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8322</v>
      </c>
      <c r="R1277" t="s">
        <v>8323</v>
      </c>
      <c r="S1277" s="14">
        <f t="shared" si="116"/>
        <v>41458.867905092593</v>
      </c>
      <c r="T1277" s="14">
        <f t="shared" si="117"/>
        <v>41493.867905092593</v>
      </c>
      <c r="U1277" s="64">
        <f t="shared" si="118"/>
        <v>35</v>
      </c>
      <c r="V1277" s="13" t="str">
        <f t="shared" si="119"/>
        <v>funded</v>
      </c>
    </row>
    <row r="1278" spans="1:22" ht="3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8322</v>
      </c>
      <c r="R1278" t="s">
        <v>8323</v>
      </c>
      <c r="S1278" s="14">
        <f t="shared" si="116"/>
        <v>40007.704247685186</v>
      </c>
      <c r="T1278" s="14">
        <f t="shared" si="117"/>
        <v>40057.166666666664</v>
      </c>
      <c r="U1278" s="64">
        <f t="shared" si="118"/>
        <v>49.46241898147855</v>
      </c>
      <c r="V1278" s="13" t="str">
        <f t="shared" si="119"/>
        <v>funded</v>
      </c>
    </row>
    <row r="1279" spans="1:22" ht="48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8322</v>
      </c>
      <c r="R1279" t="s">
        <v>8323</v>
      </c>
      <c r="S1279" s="14">
        <f t="shared" si="116"/>
        <v>41121.561886574076</v>
      </c>
      <c r="T1279" s="14">
        <f t="shared" si="117"/>
        <v>41156.561886574076</v>
      </c>
      <c r="U1279" s="64">
        <f t="shared" si="118"/>
        <v>35</v>
      </c>
      <c r="V1279" s="13" t="str">
        <f t="shared" si="119"/>
        <v>funded</v>
      </c>
    </row>
    <row r="1280" spans="1:22" ht="48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8322</v>
      </c>
      <c r="R1280" t="s">
        <v>8323</v>
      </c>
      <c r="S1280" s="14">
        <f t="shared" si="116"/>
        <v>41786.555162037039</v>
      </c>
      <c r="T1280" s="14">
        <f t="shared" si="117"/>
        <v>41815.083333333336</v>
      </c>
      <c r="U1280" s="64">
        <f t="shared" si="118"/>
        <v>28.528171296296932</v>
      </c>
      <c r="V1280" s="13" t="str">
        <f t="shared" si="119"/>
        <v>funded</v>
      </c>
    </row>
    <row r="1281" spans="1:22" ht="48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8322</v>
      </c>
      <c r="R1281" t="s">
        <v>8323</v>
      </c>
      <c r="S1281" s="14">
        <f t="shared" si="116"/>
        <v>41682.099189814813</v>
      </c>
      <c r="T1281" s="14">
        <f t="shared" si="117"/>
        <v>41722.057523148149</v>
      </c>
      <c r="U1281" s="64">
        <f t="shared" si="118"/>
        <v>39.958333333335759</v>
      </c>
      <c r="V1281" s="13" t="str">
        <f t="shared" si="119"/>
        <v>funded</v>
      </c>
    </row>
    <row r="1282" spans="1:22" ht="48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>
        <f t="shared" si="115"/>
        <v>127.98</v>
      </c>
      <c r="Q1282" s="10" t="s">
        <v>8322</v>
      </c>
      <c r="R1282" t="s">
        <v>8323</v>
      </c>
      <c r="S1282" s="14">
        <f t="shared" si="116"/>
        <v>40513.757569444446</v>
      </c>
      <c r="T1282" s="14">
        <f t="shared" si="117"/>
        <v>40603.757569444446</v>
      </c>
      <c r="U1282" s="64">
        <f t="shared" si="118"/>
        <v>90</v>
      </c>
      <c r="V1282" s="13" t="str">
        <f t="shared" si="119"/>
        <v>funded</v>
      </c>
    </row>
    <row r="1283" spans="1:22" ht="48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ROUND(E1283/D1283*100,0)</f>
        <v>111</v>
      </c>
      <c r="P1283">
        <f t="shared" ref="P1283:P1346" si="121">IFERROR(ROUND(E1283/L1283,2), 0)</f>
        <v>104.73</v>
      </c>
      <c r="Q1283" s="10" t="s">
        <v>8322</v>
      </c>
      <c r="R1283" t="s">
        <v>8323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 s="64">
        <f t="shared" ref="U1283:V1346" si="124">T1283-S1283</f>
        <v>20</v>
      </c>
      <c r="V1283" s="13" t="str">
        <f t="shared" ref="V1283:V1346" si="125">IF(E1283&gt;=D1283, "funded", "underfunded")</f>
        <v>funded</v>
      </c>
    </row>
    <row r="1284" spans="1:22" ht="48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8322</v>
      </c>
      <c r="R1284" t="s">
        <v>8323</v>
      </c>
      <c r="S1284" s="14">
        <f t="shared" si="122"/>
        <v>41586.475173611114</v>
      </c>
      <c r="T1284" s="14">
        <f t="shared" si="123"/>
        <v>41617.207638888889</v>
      </c>
      <c r="U1284" s="64">
        <f t="shared" si="124"/>
        <v>30.732465277775191</v>
      </c>
      <c r="V1284" s="13" t="str">
        <f t="shared" si="125"/>
        <v>funded</v>
      </c>
    </row>
    <row r="1285" spans="1:22" ht="48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8322</v>
      </c>
      <c r="R1285" t="s">
        <v>8323</v>
      </c>
      <c r="S1285" s="14">
        <f t="shared" si="122"/>
        <v>41320.717465277776</v>
      </c>
      <c r="T1285" s="14">
        <f t="shared" si="123"/>
        <v>41344.166666666664</v>
      </c>
      <c r="U1285" s="64">
        <f t="shared" si="124"/>
        <v>23.449201388888469</v>
      </c>
      <c r="V1285" s="13" t="str">
        <f t="shared" si="125"/>
        <v>funded</v>
      </c>
    </row>
    <row r="1286" spans="1:22" ht="48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8314</v>
      </c>
      <c r="R1286" t="s">
        <v>8315</v>
      </c>
      <c r="S1286" s="14">
        <f t="shared" si="122"/>
        <v>42712.23474537037</v>
      </c>
      <c r="T1286" s="14">
        <f t="shared" si="123"/>
        <v>42735.707638888889</v>
      </c>
      <c r="U1286" s="64">
        <f t="shared" si="124"/>
        <v>23.472893518519413</v>
      </c>
      <c r="V1286" s="13" t="str">
        <f t="shared" si="125"/>
        <v>funded</v>
      </c>
    </row>
    <row r="1287" spans="1:22" ht="48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8314</v>
      </c>
      <c r="R1287" t="s">
        <v>8315</v>
      </c>
      <c r="S1287" s="14">
        <f t="shared" si="122"/>
        <v>42160.583043981482</v>
      </c>
      <c r="T1287" s="14">
        <f t="shared" si="123"/>
        <v>42175.583043981482</v>
      </c>
      <c r="U1287" s="64">
        <f t="shared" si="124"/>
        <v>15</v>
      </c>
      <c r="V1287" s="13" t="str">
        <f t="shared" si="125"/>
        <v>funded</v>
      </c>
    </row>
    <row r="1288" spans="1:22" ht="48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8314</v>
      </c>
      <c r="R1288" t="s">
        <v>8315</v>
      </c>
      <c r="S1288" s="14">
        <f t="shared" si="122"/>
        <v>42039.384571759263</v>
      </c>
      <c r="T1288" s="14">
        <f t="shared" si="123"/>
        <v>42052.583333333328</v>
      </c>
      <c r="U1288" s="64">
        <f t="shared" si="124"/>
        <v>13.198761574065429</v>
      </c>
      <c r="V1288" s="13" t="str">
        <f t="shared" si="125"/>
        <v>funded</v>
      </c>
    </row>
    <row r="1289" spans="1:22" ht="6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8314</v>
      </c>
      <c r="R1289" t="s">
        <v>8315</v>
      </c>
      <c r="S1289" s="14">
        <f t="shared" si="122"/>
        <v>42107.621018518519</v>
      </c>
      <c r="T1289" s="14">
        <f t="shared" si="123"/>
        <v>42167.621018518519</v>
      </c>
      <c r="U1289" s="64">
        <f t="shared" si="124"/>
        <v>60</v>
      </c>
      <c r="V1289" s="13" t="str">
        <f t="shared" si="125"/>
        <v>funded</v>
      </c>
    </row>
    <row r="1290" spans="1:22" ht="48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8314</v>
      </c>
      <c r="R1290" t="s">
        <v>8315</v>
      </c>
      <c r="S1290" s="14">
        <f t="shared" si="122"/>
        <v>42561.154664351852</v>
      </c>
      <c r="T1290" s="14">
        <f t="shared" si="123"/>
        <v>42592.166666666672</v>
      </c>
      <c r="U1290" s="64">
        <f t="shared" si="124"/>
        <v>31.012002314819256</v>
      </c>
      <c r="V1290" s="13" t="str">
        <f t="shared" si="125"/>
        <v>funded</v>
      </c>
    </row>
    <row r="1291" spans="1:22" ht="48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8314</v>
      </c>
      <c r="R1291" t="s">
        <v>8315</v>
      </c>
      <c r="S1291" s="14">
        <f t="shared" si="122"/>
        <v>42709.134780092587</v>
      </c>
      <c r="T1291" s="14">
        <f t="shared" si="123"/>
        <v>42739.134780092587</v>
      </c>
      <c r="U1291" s="64">
        <f t="shared" si="124"/>
        <v>30</v>
      </c>
      <c r="V1291" s="13" t="str">
        <f t="shared" si="125"/>
        <v>funded</v>
      </c>
    </row>
    <row r="1292" spans="1:22" ht="3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8314</v>
      </c>
      <c r="R1292" t="s">
        <v>8315</v>
      </c>
      <c r="S1292" s="14">
        <f t="shared" si="122"/>
        <v>42086.614942129629</v>
      </c>
      <c r="T1292" s="14">
        <f t="shared" si="123"/>
        <v>42117.290972222225</v>
      </c>
      <c r="U1292" s="64">
        <f t="shared" si="124"/>
        <v>30.676030092596193</v>
      </c>
      <c r="V1292" s="13" t="str">
        <f t="shared" si="125"/>
        <v>funded</v>
      </c>
    </row>
    <row r="1293" spans="1:22" ht="48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8314</v>
      </c>
      <c r="R1293" t="s">
        <v>8315</v>
      </c>
      <c r="S1293" s="14">
        <f t="shared" si="122"/>
        <v>42064.652673611112</v>
      </c>
      <c r="T1293" s="14">
        <f t="shared" si="123"/>
        <v>42101.291666666672</v>
      </c>
      <c r="U1293" s="64">
        <f t="shared" si="124"/>
        <v>36.638993055559695</v>
      </c>
      <c r="V1293" s="13" t="str">
        <f t="shared" si="125"/>
        <v>funded</v>
      </c>
    </row>
    <row r="1294" spans="1:22" ht="48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8314</v>
      </c>
      <c r="R1294" t="s">
        <v>8315</v>
      </c>
      <c r="S1294" s="14">
        <f t="shared" si="122"/>
        <v>42256.764212962968</v>
      </c>
      <c r="T1294" s="14">
        <f t="shared" si="123"/>
        <v>42283.957638888889</v>
      </c>
      <c r="U1294" s="64">
        <f t="shared" si="124"/>
        <v>27.193425925921474</v>
      </c>
      <c r="V1294" s="13" t="str">
        <f t="shared" si="125"/>
        <v>funded</v>
      </c>
    </row>
    <row r="1295" spans="1:22" ht="48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8314</v>
      </c>
      <c r="R1295" t="s">
        <v>8315</v>
      </c>
      <c r="S1295" s="14">
        <f t="shared" si="122"/>
        <v>42292.701053240744</v>
      </c>
      <c r="T1295" s="14">
        <f t="shared" si="123"/>
        <v>42322.742719907401</v>
      </c>
      <c r="U1295" s="64">
        <f t="shared" si="124"/>
        <v>30.041666666656965</v>
      </c>
      <c r="V1295" s="13" t="str">
        <f t="shared" si="125"/>
        <v>funded</v>
      </c>
    </row>
    <row r="1296" spans="1:22" ht="48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8314</v>
      </c>
      <c r="R1296" t="s">
        <v>8315</v>
      </c>
      <c r="S1296" s="14">
        <f t="shared" si="122"/>
        <v>42278.453668981485</v>
      </c>
      <c r="T1296" s="14">
        <f t="shared" si="123"/>
        <v>42296.458333333328</v>
      </c>
      <c r="U1296" s="64">
        <f t="shared" si="124"/>
        <v>18.00466435184353</v>
      </c>
      <c r="V1296" s="13" t="str">
        <f t="shared" si="125"/>
        <v>funded</v>
      </c>
    </row>
    <row r="1297" spans="1:22" ht="48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8314</v>
      </c>
      <c r="R1297" t="s">
        <v>8315</v>
      </c>
      <c r="S1297" s="14">
        <f t="shared" si="122"/>
        <v>42184.572881944448</v>
      </c>
      <c r="T1297" s="14">
        <f t="shared" si="123"/>
        <v>42214.708333333328</v>
      </c>
      <c r="U1297" s="64">
        <f t="shared" si="124"/>
        <v>30.135451388880028</v>
      </c>
      <c r="V1297" s="13" t="str">
        <f t="shared" si="125"/>
        <v>funded</v>
      </c>
    </row>
    <row r="1298" spans="1:22" ht="48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8314</v>
      </c>
      <c r="R1298" t="s">
        <v>8315</v>
      </c>
      <c r="S1298" s="14">
        <f t="shared" si="122"/>
        <v>42423.050613425927</v>
      </c>
      <c r="T1298" s="14">
        <f t="shared" si="123"/>
        <v>42443.008946759262</v>
      </c>
      <c r="U1298" s="64">
        <f t="shared" si="124"/>
        <v>19.958333333335759</v>
      </c>
      <c r="V1298" s="13" t="str">
        <f t="shared" si="125"/>
        <v>funded</v>
      </c>
    </row>
    <row r="1299" spans="1:22" ht="48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8314</v>
      </c>
      <c r="R1299" t="s">
        <v>8315</v>
      </c>
      <c r="S1299" s="14">
        <f t="shared" si="122"/>
        <v>42461.747199074074</v>
      </c>
      <c r="T1299" s="14">
        <f t="shared" si="123"/>
        <v>42491.747199074074</v>
      </c>
      <c r="U1299" s="64">
        <f t="shared" si="124"/>
        <v>30</v>
      </c>
      <c r="V1299" s="13" t="str">
        <f t="shared" si="125"/>
        <v>funded</v>
      </c>
    </row>
    <row r="1300" spans="1:22" ht="48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8314</v>
      </c>
      <c r="R1300" t="s">
        <v>8315</v>
      </c>
      <c r="S1300" s="14">
        <f t="shared" si="122"/>
        <v>42458.680925925932</v>
      </c>
      <c r="T1300" s="14">
        <f t="shared" si="123"/>
        <v>42488.680925925932</v>
      </c>
      <c r="U1300" s="64">
        <f t="shared" si="124"/>
        <v>30</v>
      </c>
      <c r="V1300" s="13" t="str">
        <f t="shared" si="125"/>
        <v>funded</v>
      </c>
    </row>
    <row r="1301" spans="1:22" ht="48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8314</v>
      </c>
      <c r="R1301" t="s">
        <v>8315</v>
      </c>
      <c r="S1301" s="14">
        <f t="shared" si="122"/>
        <v>42169.814340277779</v>
      </c>
      <c r="T1301" s="14">
        <f t="shared" si="123"/>
        <v>42199.814340277779</v>
      </c>
      <c r="U1301" s="64">
        <f t="shared" si="124"/>
        <v>30</v>
      </c>
      <c r="V1301" s="13" t="str">
        <f t="shared" si="125"/>
        <v>funded</v>
      </c>
    </row>
    <row r="1302" spans="1:22" ht="48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8314</v>
      </c>
      <c r="R1302" t="s">
        <v>8315</v>
      </c>
      <c r="S1302" s="14">
        <f t="shared" si="122"/>
        <v>42483.675208333334</v>
      </c>
      <c r="T1302" s="14">
        <f t="shared" si="123"/>
        <v>42522.789583333331</v>
      </c>
      <c r="U1302" s="64">
        <f t="shared" si="124"/>
        <v>39.114374999997381</v>
      </c>
      <c r="V1302" s="13" t="str">
        <f t="shared" si="125"/>
        <v>funded</v>
      </c>
    </row>
    <row r="1303" spans="1:22" ht="48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8314</v>
      </c>
      <c r="R1303" t="s">
        <v>8315</v>
      </c>
      <c r="S1303" s="14">
        <f t="shared" si="122"/>
        <v>42195.749745370369</v>
      </c>
      <c r="T1303" s="14">
        <f t="shared" si="123"/>
        <v>42206.125</v>
      </c>
      <c r="U1303" s="64">
        <f t="shared" si="124"/>
        <v>10.375254629630945</v>
      </c>
      <c r="V1303" s="13" t="str">
        <f t="shared" si="125"/>
        <v>funded</v>
      </c>
    </row>
    <row r="1304" spans="1:22" ht="48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8314</v>
      </c>
      <c r="R1304" t="s">
        <v>8315</v>
      </c>
      <c r="S1304" s="14">
        <f t="shared" si="122"/>
        <v>42675.057997685188</v>
      </c>
      <c r="T1304" s="14">
        <f t="shared" si="123"/>
        <v>42705.099664351852</v>
      </c>
      <c r="U1304" s="64">
        <f t="shared" si="124"/>
        <v>30.041666666664241</v>
      </c>
      <c r="V1304" s="13" t="str">
        <f t="shared" si="125"/>
        <v>funded</v>
      </c>
    </row>
    <row r="1305" spans="1:22" ht="3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8314</v>
      </c>
      <c r="R1305" t="s">
        <v>8315</v>
      </c>
      <c r="S1305" s="14">
        <f t="shared" si="122"/>
        <v>42566.441203703704</v>
      </c>
      <c r="T1305" s="14">
        <f t="shared" si="123"/>
        <v>42582.458333333328</v>
      </c>
      <c r="U1305" s="64">
        <f t="shared" si="124"/>
        <v>16.017129629624833</v>
      </c>
      <c r="V1305" s="13" t="str">
        <f t="shared" si="125"/>
        <v>funded</v>
      </c>
    </row>
    <row r="1306" spans="1:22" ht="48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8316</v>
      </c>
      <c r="R1306" t="s">
        <v>8318</v>
      </c>
      <c r="S1306" s="14">
        <f t="shared" si="122"/>
        <v>42747.194502314815</v>
      </c>
      <c r="T1306" s="14">
        <f t="shared" si="123"/>
        <v>42807.152835648143</v>
      </c>
      <c r="U1306" s="64">
        <f t="shared" si="124"/>
        <v>59.958333333328483</v>
      </c>
      <c r="V1306" s="13" t="str">
        <f t="shared" si="125"/>
        <v>underfunded</v>
      </c>
    </row>
    <row r="1307" spans="1:22" ht="48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8316</v>
      </c>
      <c r="R1307" t="s">
        <v>8318</v>
      </c>
      <c r="S1307" s="14">
        <f t="shared" si="122"/>
        <v>42543.665601851855</v>
      </c>
      <c r="T1307" s="14">
        <f t="shared" si="123"/>
        <v>42572.729166666672</v>
      </c>
      <c r="U1307" s="64">
        <f t="shared" si="124"/>
        <v>29.063564814816345</v>
      </c>
      <c r="V1307" s="13" t="str">
        <f t="shared" si="125"/>
        <v>underfunded</v>
      </c>
    </row>
    <row r="1308" spans="1:22" ht="6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8316</v>
      </c>
      <c r="R1308" t="s">
        <v>8318</v>
      </c>
      <c r="S1308" s="14">
        <f t="shared" si="122"/>
        <v>41947.457569444443</v>
      </c>
      <c r="T1308" s="14">
        <f t="shared" si="123"/>
        <v>41977.457569444443</v>
      </c>
      <c r="U1308" s="64">
        <f t="shared" si="124"/>
        <v>30</v>
      </c>
      <c r="V1308" s="13" t="str">
        <f t="shared" si="125"/>
        <v>underfunded</v>
      </c>
    </row>
    <row r="1309" spans="1:22" ht="3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8316</v>
      </c>
      <c r="R1309" t="s">
        <v>8318</v>
      </c>
      <c r="S1309" s="14">
        <f t="shared" si="122"/>
        <v>42387.503229166665</v>
      </c>
      <c r="T1309" s="14">
        <f t="shared" si="123"/>
        <v>42417.503229166665</v>
      </c>
      <c r="U1309" s="64">
        <f t="shared" si="124"/>
        <v>30</v>
      </c>
      <c r="V1309" s="13" t="str">
        <f t="shared" si="125"/>
        <v>underfunded</v>
      </c>
    </row>
    <row r="1310" spans="1:22" ht="3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8316</v>
      </c>
      <c r="R1310" t="s">
        <v>8318</v>
      </c>
      <c r="S1310" s="14">
        <f t="shared" si="122"/>
        <v>42611.613564814819</v>
      </c>
      <c r="T1310" s="14">
        <f t="shared" si="123"/>
        <v>42651.613564814819</v>
      </c>
      <c r="U1310" s="64">
        <f t="shared" si="124"/>
        <v>40</v>
      </c>
      <c r="V1310" s="13" t="str">
        <f t="shared" si="125"/>
        <v>underfunded</v>
      </c>
    </row>
    <row r="1311" spans="1:22" ht="3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8316</v>
      </c>
      <c r="R1311" t="s">
        <v>8318</v>
      </c>
      <c r="S1311" s="14">
        <f t="shared" si="122"/>
        <v>42257.882731481484</v>
      </c>
      <c r="T1311" s="14">
        <f t="shared" si="123"/>
        <v>42292.882731481484</v>
      </c>
      <c r="U1311" s="64">
        <f t="shared" si="124"/>
        <v>35</v>
      </c>
      <c r="V1311" s="13" t="str">
        <f t="shared" si="125"/>
        <v>funded</v>
      </c>
    </row>
    <row r="1312" spans="1:22" ht="3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8316</v>
      </c>
      <c r="R1312" t="s">
        <v>8318</v>
      </c>
      <c r="S1312" s="14">
        <f t="shared" si="122"/>
        <v>42556.667245370365</v>
      </c>
      <c r="T1312" s="14">
        <f t="shared" si="123"/>
        <v>42601.667245370365</v>
      </c>
      <c r="U1312" s="64">
        <f t="shared" si="124"/>
        <v>45</v>
      </c>
      <c r="V1312" s="13" t="str">
        <f t="shared" si="125"/>
        <v>underfunded</v>
      </c>
    </row>
    <row r="1313" spans="1:22" ht="48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8316</v>
      </c>
      <c r="R1313" t="s">
        <v>8318</v>
      </c>
      <c r="S1313" s="14">
        <f t="shared" si="122"/>
        <v>42669.802303240736</v>
      </c>
      <c r="T1313" s="14">
        <f t="shared" si="123"/>
        <v>42704.843969907408</v>
      </c>
      <c r="U1313" s="64">
        <f t="shared" si="124"/>
        <v>35.041666666671517</v>
      </c>
      <c r="V1313" s="13" t="str">
        <f t="shared" si="125"/>
        <v>underfunded</v>
      </c>
    </row>
    <row r="1314" spans="1:22" ht="48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8316</v>
      </c>
      <c r="R1314" t="s">
        <v>8318</v>
      </c>
      <c r="S1314" s="14">
        <f t="shared" si="122"/>
        <v>42082.702800925923</v>
      </c>
      <c r="T1314" s="14">
        <f t="shared" si="123"/>
        <v>42112.702800925923</v>
      </c>
      <c r="U1314" s="64">
        <f t="shared" si="124"/>
        <v>30</v>
      </c>
      <c r="V1314" s="13" t="str">
        <f t="shared" si="125"/>
        <v>underfunded</v>
      </c>
    </row>
    <row r="1315" spans="1:22" ht="48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8316</v>
      </c>
      <c r="R1315" t="s">
        <v>8318</v>
      </c>
      <c r="S1315" s="14">
        <f t="shared" si="122"/>
        <v>42402.709652777776</v>
      </c>
      <c r="T1315" s="14">
        <f t="shared" si="123"/>
        <v>42432.709652777776</v>
      </c>
      <c r="U1315" s="64">
        <f t="shared" si="124"/>
        <v>30</v>
      </c>
      <c r="V1315" s="13" t="str">
        <f t="shared" si="125"/>
        <v>underfunded</v>
      </c>
    </row>
    <row r="1316" spans="1:22" ht="48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8316</v>
      </c>
      <c r="R1316" t="s">
        <v>8318</v>
      </c>
      <c r="S1316" s="14">
        <f t="shared" si="122"/>
        <v>42604.669675925921</v>
      </c>
      <c r="T1316" s="14">
        <f t="shared" si="123"/>
        <v>42664.669675925921</v>
      </c>
      <c r="U1316" s="64">
        <f t="shared" si="124"/>
        <v>60</v>
      </c>
      <c r="V1316" s="13" t="str">
        <f t="shared" si="125"/>
        <v>underfunded</v>
      </c>
    </row>
    <row r="1317" spans="1:22" ht="3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8316</v>
      </c>
      <c r="R1317" t="s">
        <v>8318</v>
      </c>
      <c r="S1317" s="14">
        <f t="shared" si="122"/>
        <v>42278.498240740737</v>
      </c>
      <c r="T1317" s="14">
        <f t="shared" si="123"/>
        <v>42314.041666666672</v>
      </c>
      <c r="U1317" s="64">
        <f t="shared" si="124"/>
        <v>35.543425925934571</v>
      </c>
      <c r="V1317" s="13" t="str">
        <f t="shared" si="125"/>
        <v>underfunded</v>
      </c>
    </row>
    <row r="1318" spans="1:22" ht="48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0" t="s">
        <v>8316</v>
      </c>
      <c r="R1318" t="s">
        <v>8318</v>
      </c>
      <c r="S1318" s="14">
        <f t="shared" si="122"/>
        <v>42393.961909722217</v>
      </c>
      <c r="T1318" s="14">
        <f t="shared" si="123"/>
        <v>42428.961909722217</v>
      </c>
      <c r="U1318" s="64">
        <f t="shared" si="124"/>
        <v>35</v>
      </c>
      <c r="V1318" s="13" t="str">
        <f t="shared" si="125"/>
        <v>underfunded</v>
      </c>
    </row>
    <row r="1319" spans="1:22" ht="48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8316</v>
      </c>
      <c r="R1319" t="s">
        <v>8318</v>
      </c>
      <c r="S1319" s="14">
        <f t="shared" si="122"/>
        <v>42520.235486111109</v>
      </c>
      <c r="T1319" s="14">
        <f t="shared" si="123"/>
        <v>42572.583333333328</v>
      </c>
      <c r="U1319" s="64">
        <f t="shared" si="124"/>
        <v>52.347847222219571</v>
      </c>
      <c r="V1319" s="13" t="str">
        <f t="shared" si="125"/>
        <v>underfunded</v>
      </c>
    </row>
    <row r="1320" spans="1:22" ht="48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8316</v>
      </c>
      <c r="R1320" t="s">
        <v>8318</v>
      </c>
      <c r="S1320" s="14">
        <f t="shared" si="122"/>
        <v>41985.043657407412</v>
      </c>
      <c r="T1320" s="14">
        <f t="shared" si="123"/>
        <v>42015.043657407412</v>
      </c>
      <c r="U1320" s="64">
        <f t="shared" si="124"/>
        <v>30</v>
      </c>
      <c r="V1320" s="13" t="str">
        <f t="shared" si="125"/>
        <v>underfunded</v>
      </c>
    </row>
    <row r="1321" spans="1:22" ht="48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8316</v>
      </c>
      <c r="R1321" t="s">
        <v>8318</v>
      </c>
      <c r="S1321" s="14">
        <f t="shared" si="122"/>
        <v>41816.812094907407</v>
      </c>
      <c r="T1321" s="14">
        <f t="shared" si="123"/>
        <v>41831.666666666664</v>
      </c>
      <c r="U1321" s="64">
        <f t="shared" si="124"/>
        <v>14.854571759256942</v>
      </c>
      <c r="V1321" s="13" t="str">
        <f t="shared" si="125"/>
        <v>underfunded</v>
      </c>
    </row>
    <row r="1322" spans="1:22" ht="48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8316</v>
      </c>
      <c r="R1322" t="s">
        <v>8318</v>
      </c>
      <c r="S1322" s="14">
        <f t="shared" si="122"/>
        <v>42705.690347222218</v>
      </c>
      <c r="T1322" s="14">
        <f t="shared" si="123"/>
        <v>42734.958333333328</v>
      </c>
      <c r="U1322" s="64">
        <f t="shared" si="124"/>
        <v>29.267986111110076</v>
      </c>
      <c r="V1322" s="13" t="str">
        <f t="shared" si="125"/>
        <v>underfunded</v>
      </c>
    </row>
    <row r="1323" spans="1:22" ht="48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8316</v>
      </c>
      <c r="R1323" t="s">
        <v>8318</v>
      </c>
      <c r="S1323" s="14">
        <f t="shared" si="122"/>
        <v>42697.74927083333</v>
      </c>
      <c r="T1323" s="14">
        <f t="shared" si="123"/>
        <v>42727.74927083333</v>
      </c>
      <c r="U1323" s="64">
        <f t="shared" si="124"/>
        <v>30</v>
      </c>
      <c r="V1323" s="13" t="str">
        <f t="shared" si="125"/>
        <v>underfunded</v>
      </c>
    </row>
    <row r="1324" spans="1:22" ht="48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0" t="s">
        <v>8316</v>
      </c>
      <c r="R1324" t="s">
        <v>8318</v>
      </c>
      <c r="S1324" s="14">
        <f t="shared" si="122"/>
        <v>42115.656539351854</v>
      </c>
      <c r="T1324" s="14">
        <f t="shared" si="123"/>
        <v>42145.656539351854</v>
      </c>
      <c r="U1324" s="64">
        <f t="shared" si="124"/>
        <v>30</v>
      </c>
      <c r="V1324" s="13" t="str">
        <f t="shared" si="125"/>
        <v>underfunded</v>
      </c>
    </row>
    <row r="1325" spans="1:22" ht="48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8316</v>
      </c>
      <c r="R1325" t="s">
        <v>8318</v>
      </c>
      <c r="S1325" s="14">
        <f t="shared" si="122"/>
        <v>42451.698449074072</v>
      </c>
      <c r="T1325" s="14">
        <f t="shared" si="123"/>
        <v>42486.288194444445</v>
      </c>
      <c r="U1325" s="64">
        <f t="shared" si="124"/>
        <v>34.589745370372839</v>
      </c>
      <c r="V1325" s="13" t="str">
        <f t="shared" si="125"/>
        <v>underfunded</v>
      </c>
    </row>
    <row r="1326" spans="1:22" ht="48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8316</v>
      </c>
      <c r="R1326" t="s">
        <v>8318</v>
      </c>
      <c r="S1326" s="14">
        <f t="shared" si="122"/>
        <v>42626.633703703701</v>
      </c>
      <c r="T1326" s="14">
        <f t="shared" si="123"/>
        <v>42656.633703703701</v>
      </c>
      <c r="U1326" s="64">
        <f t="shared" si="124"/>
        <v>30</v>
      </c>
      <c r="V1326" s="13" t="str">
        <f t="shared" si="125"/>
        <v>underfunded</v>
      </c>
    </row>
    <row r="1327" spans="1:22" ht="48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8316</v>
      </c>
      <c r="R1327" t="s">
        <v>8318</v>
      </c>
      <c r="S1327" s="14">
        <f t="shared" si="122"/>
        <v>42704.086053240739</v>
      </c>
      <c r="T1327" s="14">
        <f t="shared" si="123"/>
        <v>42734.086053240739</v>
      </c>
      <c r="U1327" s="64">
        <f t="shared" si="124"/>
        <v>30</v>
      </c>
      <c r="V1327" s="13" t="str">
        <f t="shared" si="125"/>
        <v>underfunded</v>
      </c>
    </row>
    <row r="1328" spans="1:22" ht="48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8316</v>
      </c>
      <c r="R1328" t="s">
        <v>8318</v>
      </c>
      <c r="S1328" s="14">
        <f t="shared" si="122"/>
        <v>41974.791990740734</v>
      </c>
      <c r="T1328" s="14">
        <f t="shared" si="123"/>
        <v>42019.791990740734</v>
      </c>
      <c r="U1328" s="64">
        <f t="shared" si="124"/>
        <v>45</v>
      </c>
      <c r="V1328" s="13" t="str">
        <f t="shared" si="125"/>
        <v>underfunded</v>
      </c>
    </row>
    <row r="1329" spans="1:22" ht="48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8316</v>
      </c>
      <c r="R1329" t="s">
        <v>8318</v>
      </c>
      <c r="S1329" s="14">
        <f t="shared" si="122"/>
        <v>42123.678645833337</v>
      </c>
      <c r="T1329" s="14">
        <f t="shared" si="123"/>
        <v>42153.678645833337</v>
      </c>
      <c r="U1329" s="64">
        <f t="shared" si="124"/>
        <v>30</v>
      </c>
      <c r="V1329" s="13" t="str">
        <f t="shared" si="125"/>
        <v>underfunded</v>
      </c>
    </row>
    <row r="1330" spans="1:22" ht="48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8316</v>
      </c>
      <c r="R1330" t="s">
        <v>8318</v>
      </c>
      <c r="S1330" s="14">
        <f t="shared" si="122"/>
        <v>42612.642754629633</v>
      </c>
      <c r="T1330" s="14">
        <f t="shared" si="123"/>
        <v>42657.642754629633</v>
      </c>
      <c r="U1330" s="64">
        <f t="shared" si="124"/>
        <v>45</v>
      </c>
      <c r="V1330" s="13" t="str">
        <f t="shared" si="125"/>
        <v>underfunded</v>
      </c>
    </row>
    <row r="1331" spans="1:22" ht="48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8316</v>
      </c>
      <c r="R1331" t="s">
        <v>8318</v>
      </c>
      <c r="S1331" s="14">
        <f t="shared" si="122"/>
        <v>41935.221585648149</v>
      </c>
      <c r="T1331" s="14">
        <f t="shared" si="123"/>
        <v>41975.263252314813</v>
      </c>
      <c r="U1331" s="64">
        <f t="shared" si="124"/>
        <v>40.041666666664241</v>
      </c>
      <c r="V1331" s="13" t="str">
        <f t="shared" si="125"/>
        <v>underfunded</v>
      </c>
    </row>
    <row r="1332" spans="1:22" ht="48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8316</v>
      </c>
      <c r="R1332" t="s">
        <v>8318</v>
      </c>
      <c r="S1332" s="14">
        <f t="shared" si="122"/>
        <v>42522.276724537034</v>
      </c>
      <c r="T1332" s="14">
        <f t="shared" si="123"/>
        <v>42553.166666666672</v>
      </c>
      <c r="U1332" s="64">
        <f t="shared" si="124"/>
        <v>30.889942129637348</v>
      </c>
      <c r="V1332" s="13" t="str">
        <f t="shared" si="125"/>
        <v>underfunded</v>
      </c>
    </row>
    <row r="1333" spans="1:22" ht="48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8316</v>
      </c>
      <c r="R1333" t="s">
        <v>8318</v>
      </c>
      <c r="S1333" s="14">
        <f t="shared" si="122"/>
        <v>42569.50409722222</v>
      </c>
      <c r="T1333" s="14">
        <f t="shared" si="123"/>
        <v>42599.50409722222</v>
      </c>
      <c r="U1333" s="64">
        <f t="shared" si="124"/>
        <v>30</v>
      </c>
      <c r="V1333" s="13" t="str">
        <f t="shared" si="125"/>
        <v>underfunded</v>
      </c>
    </row>
    <row r="1334" spans="1:22" ht="48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0" t="s">
        <v>8316</v>
      </c>
      <c r="R1334" t="s">
        <v>8318</v>
      </c>
      <c r="S1334" s="14">
        <f t="shared" si="122"/>
        <v>42732.060277777782</v>
      </c>
      <c r="T1334" s="14">
        <f t="shared" si="123"/>
        <v>42762.060277777782</v>
      </c>
      <c r="U1334" s="64">
        <f t="shared" si="124"/>
        <v>30</v>
      </c>
      <c r="V1334" s="13" t="str">
        <f t="shared" si="125"/>
        <v>underfunded</v>
      </c>
    </row>
    <row r="1335" spans="1:22" ht="48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0" t="s">
        <v>8316</v>
      </c>
      <c r="R1335" t="s">
        <v>8318</v>
      </c>
      <c r="S1335" s="14">
        <f t="shared" si="122"/>
        <v>41806.106770833336</v>
      </c>
      <c r="T1335" s="14">
        <f t="shared" si="123"/>
        <v>41836.106770833336</v>
      </c>
      <c r="U1335" s="64">
        <f t="shared" si="124"/>
        <v>30</v>
      </c>
      <c r="V1335" s="13" t="str">
        <f t="shared" si="125"/>
        <v>underfunded</v>
      </c>
    </row>
    <row r="1336" spans="1:22" ht="48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8316</v>
      </c>
      <c r="R1336" t="s">
        <v>8318</v>
      </c>
      <c r="S1336" s="14">
        <f t="shared" si="122"/>
        <v>42410.774155092593</v>
      </c>
      <c r="T1336" s="14">
        <f t="shared" si="123"/>
        <v>42440.774155092593</v>
      </c>
      <c r="U1336" s="64">
        <f t="shared" si="124"/>
        <v>30</v>
      </c>
      <c r="V1336" s="13" t="str">
        <f t="shared" si="125"/>
        <v>underfunded</v>
      </c>
    </row>
    <row r="1337" spans="1:22" ht="48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8316</v>
      </c>
      <c r="R1337" t="s">
        <v>8318</v>
      </c>
      <c r="S1337" s="14">
        <f t="shared" si="122"/>
        <v>42313.936365740738</v>
      </c>
      <c r="T1337" s="14">
        <f t="shared" si="123"/>
        <v>42343.936365740738</v>
      </c>
      <c r="U1337" s="64">
        <f t="shared" si="124"/>
        <v>30</v>
      </c>
      <c r="V1337" s="13" t="str">
        <f t="shared" si="125"/>
        <v>underfunded</v>
      </c>
    </row>
    <row r="1338" spans="1:22" ht="48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8316</v>
      </c>
      <c r="R1338" t="s">
        <v>8318</v>
      </c>
      <c r="S1338" s="14">
        <f t="shared" si="122"/>
        <v>41955.863750000004</v>
      </c>
      <c r="T1338" s="14">
        <f t="shared" si="123"/>
        <v>41990.863750000004</v>
      </c>
      <c r="U1338" s="64">
        <f t="shared" si="124"/>
        <v>35</v>
      </c>
      <c r="V1338" s="13" t="str">
        <f t="shared" si="125"/>
        <v>underfunded</v>
      </c>
    </row>
    <row r="1339" spans="1:22" ht="48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8316</v>
      </c>
      <c r="R1339" t="s">
        <v>8318</v>
      </c>
      <c r="S1339" s="14">
        <f t="shared" si="122"/>
        <v>42767.577303240745</v>
      </c>
      <c r="T1339" s="14">
        <f t="shared" si="123"/>
        <v>42797.577303240745</v>
      </c>
      <c r="U1339" s="64">
        <f t="shared" si="124"/>
        <v>30</v>
      </c>
      <c r="V1339" s="13" t="str">
        <f t="shared" si="125"/>
        <v>underfunded</v>
      </c>
    </row>
    <row r="1340" spans="1:22" ht="48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8316</v>
      </c>
      <c r="R1340" t="s">
        <v>8318</v>
      </c>
      <c r="S1340" s="14">
        <f t="shared" si="122"/>
        <v>42188.803622685184</v>
      </c>
      <c r="T1340" s="14">
        <f t="shared" si="123"/>
        <v>42218.803622685184</v>
      </c>
      <c r="U1340" s="64">
        <f t="shared" si="124"/>
        <v>30</v>
      </c>
      <c r="V1340" s="13" t="str">
        <f t="shared" si="125"/>
        <v>underfunded</v>
      </c>
    </row>
    <row r="1341" spans="1:22" ht="3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8316</v>
      </c>
      <c r="R1341" t="s">
        <v>8318</v>
      </c>
      <c r="S1341" s="14">
        <f t="shared" si="122"/>
        <v>41936.647164351853</v>
      </c>
      <c r="T1341" s="14">
        <f t="shared" si="123"/>
        <v>41981.688831018517</v>
      </c>
      <c r="U1341" s="64">
        <f t="shared" si="124"/>
        <v>45.041666666664241</v>
      </c>
      <c r="V1341" s="13" t="str">
        <f t="shared" si="125"/>
        <v>underfunded</v>
      </c>
    </row>
    <row r="1342" spans="1:22" ht="48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0" t="s">
        <v>8316</v>
      </c>
      <c r="R1342" t="s">
        <v>8318</v>
      </c>
      <c r="S1342" s="14">
        <f t="shared" si="122"/>
        <v>41836.595520833333</v>
      </c>
      <c r="T1342" s="14">
        <f t="shared" si="123"/>
        <v>41866.595520833333</v>
      </c>
      <c r="U1342" s="64">
        <f t="shared" si="124"/>
        <v>30</v>
      </c>
      <c r="V1342" s="13" t="str">
        <f t="shared" si="125"/>
        <v>underfunded</v>
      </c>
    </row>
    <row r="1343" spans="1:22" ht="48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8316</v>
      </c>
      <c r="R1343" t="s">
        <v>8318</v>
      </c>
      <c r="S1343" s="14">
        <f t="shared" si="122"/>
        <v>42612.624039351853</v>
      </c>
      <c r="T1343" s="14">
        <f t="shared" si="123"/>
        <v>42644.624039351853</v>
      </c>
      <c r="U1343" s="64">
        <f t="shared" si="124"/>
        <v>32</v>
      </c>
      <c r="V1343" s="13" t="str">
        <f t="shared" si="125"/>
        <v>underfunded</v>
      </c>
    </row>
    <row r="1344" spans="1:22" ht="48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0" t="s">
        <v>8316</v>
      </c>
      <c r="R1344" t="s">
        <v>8318</v>
      </c>
      <c r="S1344" s="14">
        <f t="shared" si="122"/>
        <v>42172.816423611104</v>
      </c>
      <c r="T1344" s="14">
        <f t="shared" si="123"/>
        <v>42202.816423611104</v>
      </c>
      <c r="U1344" s="64">
        <f t="shared" si="124"/>
        <v>30</v>
      </c>
      <c r="V1344" s="13" t="str">
        <f t="shared" si="125"/>
        <v>underfunded</v>
      </c>
    </row>
    <row r="1345" spans="1:22" ht="48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8316</v>
      </c>
      <c r="R1345" t="s">
        <v>8318</v>
      </c>
      <c r="S1345" s="14">
        <f t="shared" si="122"/>
        <v>42542.526423611111</v>
      </c>
      <c r="T1345" s="14">
        <f t="shared" si="123"/>
        <v>42601.165972222225</v>
      </c>
      <c r="U1345" s="64">
        <f t="shared" si="124"/>
        <v>58.639548611114151</v>
      </c>
      <c r="V1345" s="13" t="str">
        <f t="shared" si="125"/>
        <v>funded</v>
      </c>
    </row>
    <row r="1346" spans="1:22" ht="48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>
        <f t="shared" si="121"/>
        <v>40.76</v>
      </c>
      <c r="Q1346" s="10" t="s">
        <v>8319</v>
      </c>
      <c r="R1346" t="s">
        <v>8320</v>
      </c>
      <c r="S1346" s="14">
        <f t="shared" si="122"/>
        <v>42522.789803240739</v>
      </c>
      <c r="T1346" s="14">
        <f t="shared" si="123"/>
        <v>42551.789803240739</v>
      </c>
      <c r="U1346" s="64">
        <f t="shared" si="124"/>
        <v>29</v>
      </c>
      <c r="V1346" s="13" t="str">
        <f t="shared" si="125"/>
        <v>funded</v>
      </c>
    </row>
    <row r="1347" spans="1:22" ht="48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ROUND(E1347/D1347*100,0)</f>
        <v>125</v>
      </c>
      <c r="P1347">
        <f t="shared" ref="P1347:P1410" si="127">IFERROR(ROUND(E1347/L1347,2), 0)</f>
        <v>53.57</v>
      </c>
      <c r="Q1347" s="10" t="s">
        <v>8319</v>
      </c>
      <c r="R1347" t="s">
        <v>8320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 s="64">
        <f t="shared" ref="U1347:V1410" si="130">T1347-S1347</f>
        <v>35</v>
      </c>
      <c r="V1347" s="13" t="str">
        <f t="shared" ref="V1347:V1410" si="131">IF(E1347&gt;=D1347, "funded", "underfunded")</f>
        <v>funded</v>
      </c>
    </row>
    <row r="1348" spans="1:22" ht="48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8319</v>
      </c>
      <c r="R1348" t="s">
        <v>8320</v>
      </c>
      <c r="S1348" s="14">
        <f t="shared" si="128"/>
        <v>41422.075821759259</v>
      </c>
      <c r="T1348" s="14">
        <f t="shared" si="129"/>
        <v>41452.075821759259</v>
      </c>
      <c r="U1348" s="64">
        <f t="shared" si="130"/>
        <v>30</v>
      </c>
      <c r="V1348" s="13" t="str">
        <f t="shared" si="131"/>
        <v>funded</v>
      </c>
    </row>
    <row r="1349" spans="1:22" ht="48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8319</v>
      </c>
      <c r="R1349" t="s">
        <v>8320</v>
      </c>
      <c r="S1349" s="14">
        <f t="shared" si="128"/>
        <v>42040.638020833328</v>
      </c>
      <c r="T1349" s="14">
        <f t="shared" si="129"/>
        <v>42070.638020833328</v>
      </c>
      <c r="U1349" s="64">
        <f t="shared" si="130"/>
        <v>30</v>
      </c>
      <c r="V1349" s="13" t="str">
        <f t="shared" si="131"/>
        <v>funded</v>
      </c>
    </row>
    <row r="1350" spans="1:22" ht="48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8319</v>
      </c>
      <c r="R1350" t="s">
        <v>8320</v>
      </c>
      <c r="S1350" s="14">
        <f t="shared" si="128"/>
        <v>41963.506168981476</v>
      </c>
      <c r="T1350" s="14">
        <f t="shared" si="129"/>
        <v>41991.506168981476</v>
      </c>
      <c r="U1350" s="64">
        <f t="shared" si="130"/>
        <v>28</v>
      </c>
      <c r="V1350" s="13" t="str">
        <f t="shared" si="131"/>
        <v>funded</v>
      </c>
    </row>
    <row r="1351" spans="1:22" ht="48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8319</v>
      </c>
      <c r="R1351" t="s">
        <v>8320</v>
      </c>
      <c r="S1351" s="14">
        <f t="shared" si="128"/>
        <v>42317.33258101852</v>
      </c>
      <c r="T1351" s="14">
        <f t="shared" si="129"/>
        <v>42354.290972222225</v>
      </c>
      <c r="U1351" s="64">
        <f t="shared" si="130"/>
        <v>36.958391203705105</v>
      </c>
      <c r="V1351" s="13" t="str">
        <f t="shared" si="131"/>
        <v>funded</v>
      </c>
    </row>
    <row r="1352" spans="1:22" ht="48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8319</v>
      </c>
      <c r="R1352" t="s">
        <v>8320</v>
      </c>
      <c r="S1352" s="14">
        <f t="shared" si="128"/>
        <v>42334.013124999998</v>
      </c>
      <c r="T1352" s="14">
        <f t="shared" si="129"/>
        <v>42364.013124999998</v>
      </c>
      <c r="U1352" s="64">
        <f t="shared" si="130"/>
        <v>30</v>
      </c>
      <c r="V1352" s="13" t="str">
        <f t="shared" si="131"/>
        <v>funded</v>
      </c>
    </row>
    <row r="1353" spans="1:22" ht="3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8319</v>
      </c>
      <c r="R1353" t="s">
        <v>8320</v>
      </c>
      <c r="S1353" s="14">
        <f t="shared" si="128"/>
        <v>42382.74009259259</v>
      </c>
      <c r="T1353" s="14">
        <f t="shared" si="129"/>
        <v>42412.74009259259</v>
      </c>
      <c r="U1353" s="64">
        <f t="shared" si="130"/>
        <v>30</v>
      </c>
      <c r="V1353" s="13" t="str">
        <f t="shared" si="131"/>
        <v>funded</v>
      </c>
    </row>
    <row r="1354" spans="1:22" ht="48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8319</v>
      </c>
      <c r="R1354" t="s">
        <v>8320</v>
      </c>
      <c r="S1354" s="14">
        <f t="shared" si="128"/>
        <v>42200.578310185185</v>
      </c>
      <c r="T1354" s="14">
        <f t="shared" si="129"/>
        <v>42252.165972222225</v>
      </c>
      <c r="U1354" s="64">
        <f t="shared" si="130"/>
        <v>51.587662037039991</v>
      </c>
      <c r="V1354" s="13" t="str">
        <f t="shared" si="131"/>
        <v>funded</v>
      </c>
    </row>
    <row r="1355" spans="1:22" ht="3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8319</v>
      </c>
      <c r="R1355" t="s">
        <v>8320</v>
      </c>
      <c r="S1355" s="14">
        <f t="shared" si="128"/>
        <v>41309.11791666667</v>
      </c>
      <c r="T1355" s="14">
        <f t="shared" si="129"/>
        <v>41344</v>
      </c>
      <c r="U1355" s="64">
        <f t="shared" si="130"/>
        <v>34.882083333330229</v>
      </c>
      <c r="V1355" s="13" t="str">
        <f t="shared" si="131"/>
        <v>funded</v>
      </c>
    </row>
    <row r="1356" spans="1:22" ht="48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8319</v>
      </c>
      <c r="R1356" t="s">
        <v>8320</v>
      </c>
      <c r="S1356" s="14">
        <f t="shared" si="128"/>
        <v>42502.807627314818</v>
      </c>
      <c r="T1356" s="14">
        <f t="shared" si="129"/>
        <v>42532.807627314818</v>
      </c>
      <c r="U1356" s="64">
        <f t="shared" si="130"/>
        <v>30</v>
      </c>
      <c r="V1356" s="13" t="str">
        <f t="shared" si="131"/>
        <v>funded</v>
      </c>
    </row>
    <row r="1357" spans="1:22" ht="48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8319</v>
      </c>
      <c r="R1357" t="s">
        <v>8320</v>
      </c>
      <c r="S1357" s="14">
        <f t="shared" si="128"/>
        <v>41213.254687499997</v>
      </c>
      <c r="T1357" s="14">
        <f t="shared" si="129"/>
        <v>41243.416666666664</v>
      </c>
      <c r="U1357" s="64">
        <f t="shared" si="130"/>
        <v>30.161979166667152</v>
      </c>
      <c r="V1357" s="13" t="str">
        <f t="shared" si="131"/>
        <v>funded</v>
      </c>
    </row>
    <row r="1358" spans="1:22" ht="48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8319</v>
      </c>
      <c r="R1358" t="s">
        <v>8320</v>
      </c>
      <c r="S1358" s="14">
        <f t="shared" si="128"/>
        <v>41430.038888888892</v>
      </c>
      <c r="T1358" s="14">
        <f t="shared" si="129"/>
        <v>41460.038888888892</v>
      </c>
      <c r="U1358" s="64">
        <f t="shared" si="130"/>
        <v>30</v>
      </c>
      <c r="V1358" s="13" t="str">
        <f t="shared" si="131"/>
        <v>funded</v>
      </c>
    </row>
    <row r="1359" spans="1:22" ht="48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8319</v>
      </c>
      <c r="R1359" t="s">
        <v>8320</v>
      </c>
      <c r="S1359" s="14">
        <f t="shared" si="128"/>
        <v>41304.962233796294</v>
      </c>
      <c r="T1359" s="14">
        <f t="shared" si="129"/>
        <v>41334.249305555553</v>
      </c>
      <c r="U1359" s="64">
        <f t="shared" si="130"/>
        <v>29.287071759259561</v>
      </c>
      <c r="V1359" s="13" t="str">
        <f t="shared" si="131"/>
        <v>funded</v>
      </c>
    </row>
    <row r="1360" spans="1:22" ht="48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8319</v>
      </c>
      <c r="R1360" t="s">
        <v>8320</v>
      </c>
      <c r="S1360" s="14">
        <f t="shared" si="128"/>
        <v>40689.570868055554</v>
      </c>
      <c r="T1360" s="14">
        <f t="shared" si="129"/>
        <v>40719.570868055554</v>
      </c>
      <c r="U1360" s="64">
        <f t="shared" si="130"/>
        <v>30</v>
      </c>
      <c r="V1360" s="13" t="str">
        <f t="shared" si="131"/>
        <v>funded</v>
      </c>
    </row>
    <row r="1361" spans="1:22" ht="48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8319</v>
      </c>
      <c r="R1361" t="s">
        <v>8320</v>
      </c>
      <c r="S1361" s="14">
        <f t="shared" si="128"/>
        <v>40668.814699074072</v>
      </c>
      <c r="T1361" s="14">
        <f t="shared" si="129"/>
        <v>40730.814699074072</v>
      </c>
      <c r="U1361" s="64">
        <f t="shared" si="130"/>
        <v>62</v>
      </c>
      <c r="V1361" s="13" t="str">
        <f t="shared" si="131"/>
        <v>funded</v>
      </c>
    </row>
    <row r="1362" spans="1:22" ht="3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8319</v>
      </c>
      <c r="R1362" t="s">
        <v>8320</v>
      </c>
      <c r="S1362" s="14">
        <f t="shared" si="128"/>
        <v>41095.900694444441</v>
      </c>
      <c r="T1362" s="14">
        <f t="shared" si="129"/>
        <v>41123.900694444441</v>
      </c>
      <c r="U1362" s="64">
        <f t="shared" si="130"/>
        <v>28</v>
      </c>
      <c r="V1362" s="13" t="str">
        <f t="shared" si="131"/>
        <v>funded</v>
      </c>
    </row>
    <row r="1363" spans="1:22" ht="48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8319</v>
      </c>
      <c r="R1363" t="s">
        <v>8320</v>
      </c>
      <c r="S1363" s="14">
        <f t="shared" si="128"/>
        <v>41781.717268518521</v>
      </c>
      <c r="T1363" s="14">
        <f t="shared" si="129"/>
        <v>41811.717268518521</v>
      </c>
      <c r="U1363" s="64">
        <f t="shared" si="130"/>
        <v>30</v>
      </c>
      <c r="V1363" s="13" t="str">
        <f t="shared" si="131"/>
        <v>funded</v>
      </c>
    </row>
    <row r="1364" spans="1:22" ht="3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8319</v>
      </c>
      <c r="R1364" t="s">
        <v>8320</v>
      </c>
      <c r="S1364" s="14">
        <f t="shared" si="128"/>
        <v>41464.934386574074</v>
      </c>
      <c r="T1364" s="14">
        <f t="shared" si="129"/>
        <v>41524.934386574074</v>
      </c>
      <c r="U1364" s="64">
        <f t="shared" si="130"/>
        <v>60</v>
      </c>
      <c r="V1364" s="13" t="str">
        <f t="shared" si="131"/>
        <v>funded</v>
      </c>
    </row>
    <row r="1365" spans="1:22" ht="48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8319</v>
      </c>
      <c r="R1365" t="s">
        <v>8320</v>
      </c>
      <c r="S1365" s="14">
        <f t="shared" si="128"/>
        <v>42396.8440625</v>
      </c>
      <c r="T1365" s="14">
        <f t="shared" si="129"/>
        <v>42415.332638888889</v>
      </c>
      <c r="U1365" s="64">
        <f t="shared" si="130"/>
        <v>18.48857638888876</v>
      </c>
      <c r="V1365" s="13" t="str">
        <f t="shared" si="131"/>
        <v>funded</v>
      </c>
    </row>
    <row r="1366" spans="1:22" ht="48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8322</v>
      </c>
      <c r="R1366" t="s">
        <v>8323</v>
      </c>
      <c r="S1366" s="14">
        <f t="shared" si="128"/>
        <v>41951.695671296293</v>
      </c>
      <c r="T1366" s="14">
        <f t="shared" si="129"/>
        <v>42011.6956712963</v>
      </c>
      <c r="U1366" s="64">
        <f t="shared" si="130"/>
        <v>60.000000000007276</v>
      </c>
      <c r="V1366" s="13" t="str">
        <f t="shared" si="131"/>
        <v>funded</v>
      </c>
    </row>
    <row r="1367" spans="1:22" ht="48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8322</v>
      </c>
      <c r="R1367" t="s">
        <v>8323</v>
      </c>
      <c r="S1367" s="14">
        <f t="shared" si="128"/>
        <v>42049.733240740738</v>
      </c>
      <c r="T1367" s="14">
        <f t="shared" si="129"/>
        <v>42079.691574074073</v>
      </c>
      <c r="U1367" s="64">
        <f t="shared" si="130"/>
        <v>29.958333333335759</v>
      </c>
      <c r="V1367" s="13" t="str">
        <f t="shared" si="131"/>
        <v>funded</v>
      </c>
    </row>
    <row r="1368" spans="1:22" ht="16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8322</v>
      </c>
      <c r="R1368" t="s">
        <v>8323</v>
      </c>
      <c r="S1368" s="14">
        <f t="shared" si="128"/>
        <v>41924.996099537035</v>
      </c>
      <c r="T1368" s="14">
        <f t="shared" si="129"/>
        <v>41970.037766203706</v>
      </c>
      <c r="U1368" s="64">
        <f t="shared" si="130"/>
        <v>45.041666666671517</v>
      </c>
      <c r="V1368" s="13" t="str">
        <f t="shared" si="131"/>
        <v>funded</v>
      </c>
    </row>
    <row r="1369" spans="1:22" ht="48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8322</v>
      </c>
      <c r="R1369" t="s">
        <v>8323</v>
      </c>
      <c r="S1369" s="14">
        <f t="shared" si="128"/>
        <v>42292.002893518518</v>
      </c>
      <c r="T1369" s="14">
        <f t="shared" si="129"/>
        <v>42322.044560185182</v>
      </c>
      <c r="U1369" s="64">
        <f t="shared" si="130"/>
        <v>30.041666666664241</v>
      </c>
      <c r="V1369" s="13" t="str">
        <f t="shared" si="131"/>
        <v>funded</v>
      </c>
    </row>
    <row r="1370" spans="1:22" ht="48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8322</v>
      </c>
      <c r="R1370" t="s">
        <v>8323</v>
      </c>
      <c r="S1370" s="14">
        <f t="shared" si="128"/>
        <v>42146.190902777773</v>
      </c>
      <c r="T1370" s="14">
        <f t="shared" si="129"/>
        <v>42170.190902777773</v>
      </c>
      <c r="U1370" s="64">
        <f t="shared" si="130"/>
        <v>24</v>
      </c>
      <c r="V1370" s="13" t="str">
        <f t="shared" si="131"/>
        <v>funded</v>
      </c>
    </row>
    <row r="1371" spans="1:22" ht="48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8322</v>
      </c>
      <c r="R1371" t="s">
        <v>8323</v>
      </c>
      <c r="S1371" s="14">
        <f t="shared" si="128"/>
        <v>41710.594282407408</v>
      </c>
      <c r="T1371" s="14">
        <f t="shared" si="129"/>
        <v>41740.594282407408</v>
      </c>
      <c r="U1371" s="64">
        <f t="shared" si="130"/>
        <v>30</v>
      </c>
      <c r="V1371" s="13" t="str">
        <f t="shared" si="131"/>
        <v>funded</v>
      </c>
    </row>
    <row r="1372" spans="1:22" ht="3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8322</v>
      </c>
      <c r="R1372" t="s">
        <v>8323</v>
      </c>
      <c r="S1372" s="14">
        <f t="shared" si="128"/>
        <v>41548.00335648148</v>
      </c>
      <c r="T1372" s="14">
        <f t="shared" si="129"/>
        <v>41563.00335648148</v>
      </c>
      <c r="U1372" s="64">
        <f t="shared" si="130"/>
        <v>15</v>
      </c>
      <c r="V1372" s="13" t="str">
        <f t="shared" si="131"/>
        <v>funded</v>
      </c>
    </row>
    <row r="1373" spans="1:22" ht="48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8322</v>
      </c>
      <c r="R1373" t="s">
        <v>8323</v>
      </c>
      <c r="S1373" s="14">
        <f t="shared" si="128"/>
        <v>42101.758587962962</v>
      </c>
      <c r="T1373" s="14">
        <f t="shared" si="129"/>
        <v>42131.758587962962</v>
      </c>
      <c r="U1373" s="64">
        <f t="shared" si="130"/>
        <v>30</v>
      </c>
      <c r="V1373" s="13" t="str">
        <f t="shared" si="131"/>
        <v>funded</v>
      </c>
    </row>
    <row r="1374" spans="1:22" ht="16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8322</v>
      </c>
      <c r="R1374" t="s">
        <v>8323</v>
      </c>
      <c r="S1374" s="14">
        <f t="shared" si="128"/>
        <v>41072.739953703705</v>
      </c>
      <c r="T1374" s="14">
        <f t="shared" si="129"/>
        <v>41102.739953703705</v>
      </c>
      <c r="U1374" s="64">
        <f t="shared" si="130"/>
        <v>30</v>
      </c>
      <c r="V1374" s="13" t="str">
        <f t="shared" si="131"/>
        <v>funded</v>
      </c>
    </row>
    <row r="1375" spans="1:22" ht="3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8322</v>
      </c>
      <c r="R1375" t="s">
        <v>8323</v>
      </c>
      <c r="S1375" s="14">
        <f t="shared" si="128"/>
        <v>42704.95177083333</v>
      </c>
      <c r="T1375" s="14">
        <f t="shared" si="129"/>
        <v>42734.95177083333</v>
      </c>
      <c r="U1375" s="64">
        <f t="shared" si="130"/>
        <v>30</v>
      </c>
      <c r="V1375" s="13" t="str">
        <f t="shared" si="131"/>
        <v>funded</v>
      </c>
    </row>
    <row r="1376" spans="1:22" ht="48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8322</v>
      </c>
      <c r="R1376" t="s">
        <v>8323</v>
      </c>
      <c r="S1376" s="14">
        <f t="shared" si="128"/>
        <v>42424.161898148144</v>
      </c>
      <c r="T1376" s="14">
        <f t="shared" si="129"/>
        <v>42454.12023148148</v>
      </c>
      <c r="U1376" s="64">
        <f t="shared" si="130"/>
        <v>29.958333333335759</v>
      </c>
      <c r="V1376" s="13" t="str">
        <f t="shared" si="131"/>
        <v>funded</v>
      </c>
    </row>
    <row r="1377" spans="1:22" ht="48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8322</v>
      </c>
      <c r="R1377" t="s">
        <v>8323</v>
      </c>
      <c r="S1377" s="14">
        <f t="shared" si="128"/>
        <v>42720.066192129627</v>
      </c>
      <c r="T1377" s="14">
        <f t="shared" si="129"/>
        <v>42750.066192129627</v>
      </c>
      <c r="U1377" s="64">
        <f t="shared" si="130"/>
        <v>30</v>
      </c>
      <c r="V1377" s="13" t="str">
        <f t="shared" si="131"/>
        <v>funded</v>
      </c>
    </row>
    <row r="1378" spans="1:22" ht="3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8322</v>
      </c>
      <c r="R1378" t="s">
        <v>8323</v>
      </c>
      <c r="S1378" s="14">
        <f t="shared" si="128"/>
        <v>42677.669050925921</v>
      </c>
      <c r="T1378" s="14">
        <f t="shared" si="129"/>
        <v>42707.710717592592</v>
      </c>
      <c r="U1378" s="64">
        <f t="shared" si="130"/>
        <v>30.041666666671517</v>
      </c>
      <c r="V1378" s="13" t="str">
        <f t="shared" si="131"/>
        <v>funded</v>
      </c>
    </row>
    <row r="1379" spans="1:22" ht="48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8322</v>
      </c>
      <c r="R1379" t="s">
        <v>8323</v>
      </c>
      <c r="S1379" s="14">
        <f t="shared" si="128"/>
        <v>42747.219560185185</v>
      </c>
      <c r="T1379" s="14">
        <f t="shared" si="129"/>
        <v>42769.174305555556</v>
      </c>
      <c r="U1379" s="64">
        <f t="shared" si="130"/>
        <v>21.954745370370802</v>
      </c>
      <c r="V1379" s="13" t="str">
        <f t="shared" si="131"/>
        <v>funded</v>
      </c>
    </row>
    <row r="1380" spans="1:22" ht="16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8322</v>
      </c>
      <c r="R1380" t="s">
        <v>8323</v>
      </c>
      <c r="S1380" s="14">
        <f t="shared" si="128"/>
        <v>42568.759374999994</v>
      </c>
      <c r="T1380" s="14">
        <f t="shared" si="129"/>
        <v>42583.759374999994</v>
      </c>
      <c r="U1380" s="64">
        <f t="shared" si="130"/>
        <v>15</v>
      </c>
      <c r="V1380" s="13" t="str">
        <f t="shared" si="131"/>
        <v>funded</v>
      </c>
    </row>
    <row r="1381" spans="1:22" ht="3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8322</v>
      </c>
      <c r="R1381" t="s">
        <v>8323</v>
      </c>
      <c r="S1381" s="14">
        <f t="shared" si="128"/>
        <v>42130.491620370376</v>
      </c>
      <c r="T1381" s="14">
        <f t="shared" si="129"/>
        <v>42160.491620370376</v>
      </c>
      <c r="U1381" s="64">
        <f t="shared" si="130"/>
        <v>30</v>
      </c>
      <c r="V1381" s="13" t="str">
        <f t="shared" si="131"/>
        <v>funded</v>
      </c>
    </row>
    <row r="1382" spans="1:22" ht="3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8322</v>
      </c>
      <c r="R1382" t="s">
        <v>8323</v>
      </c>
      <c r="S1382" s="14">
        <f t="shared" si="128"/>
        <v>42141.762800925921</v>
      </c>
      <c r="T1382" s="14">
        <f t="shared" si="129"/>
        <v>42164.083333333328</v>
      </c>
      <c r="U1382" s="64">
        <f t="shared" si="130"/>
        <v>22.320532407407882</v>
      </c>
      <c r="V1382" s="13" t="str">
        <f t="shared" si="131"/>
        <v>funded</v>
      </c>
    </row>
    <row r="1383" spans="1:22" ht="48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8322</v>
      </c>
      <c r="R1383" t="s">
        <v>8323</v>
      </c>
      <c r="S1383" s="14">
        <f t="shared" si="128"/>
        <v>42703.214409722219</v>
      </c>
      <c r="T1383" s="14">
        <f t="shared" si="129"/>
        <v>42733.214409722219</v>
      </c>
      <c r="U1383" s="64">
        <f t="shared" si="130"/>
        <v>30</v>
      </c>
      <c r="V1383" s="13" t="str">
        <f t="shared" si="131"/>
        <v>funded</v>
      </c>
    </row>
    <row r="1384" spans="1:22" ht="48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8322</v>
      </c>
      <c r="R1384" t="s">
        <v>8323</v>
      </c>
      <c r="S1384" s="14">
        <f t="shared" si="128"/>
        <v>41370.800185185188</v>
      </c>
      <c r="T1384" s="14">
        <f t="shared" si="129"/>
        <v>41400.800185185188</v>
      </c>
      <c r="U1384" s="64">
        <f t="shared" si="130"/>
        <v>30</v>
      </c>
      <c r="V1384" s="13" t="str">
        <f t="shared" si="131"/>
        <v>funded</v>
      </c>
    </row>
    <row r="1385" spans="1:22" ht="48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8322</v>
      </c>
      <c r="R1385" t="s">
        <v>8323</v>
      </c>
      <c r="S1385" s="14">
        <f t="shared" si="128"/>
        <v>42707.074976851851</v>
      </c>
      <c r="T1385" s="14">
        <f t="shared" si="129"/>
        <v>42727.074976851851</v>
      </c>
      <c r="U1385" s="64">
        <f t="shared" si="130"/>
        <v>20</v>
      </c>
      <c r="V1385" s="13" t="str">
        <f t="shared" si="131"/>
        <v>funded</v>
      </c>
    </row>
    <row r="1386" spans="1:22" ht="48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8322</v>
      </c>
      <c r="R1386" t="s">
        <v>8323</v>
      </c>
      <c r="S1386" s="14">
        <f t="shared" si="128"/>
        <v>42160.735208333332</v>
      </c>
      <c r="T1386" s="14">
        <f t="shared" si="129"/>
        <v>42190.735208333332</v>
      </c>
      <c r="U1386" s="64">
        <f t="shared" si="130"/>
        <v>30</v>
      </c>
      <c r="V1386" s="13" t="str">
        <f t="shared" si="131"/>
        <v>funded</v>
      </c>
    </row>
    <row r="1387" spans="1:22" ht="48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8322</v>
      </c>
      <c r="R1387" t="s">
        <v>8323</v>
      </c>
      <c r="S1387" s="14">
        <f t="shared" si="128"/>
        <v>42433.688900462963</v>
      </c>
      <c r="T1387" s="14">
        <f t="shared" si="129"/>
        <v>42489.507638888885</v>
      </c>
      <c r="U1387" s="64">
        <f t="shared" si="130"/>
        <v>55.818738425921765</v>
      </c>
      <c r="V1387" s="13" t="str">
        <f t="shared" si="131"/>
        <v>funded</v>
      </c>
    </row>
    <row r="1388" spans="1:22" ht="3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8322</v>
      </c>
      <c r="R1388" t="s">
        <v>8323</v>
      </c>
      <c r="S1388" s="14">
        <f t="shared" si="128"/>
        <v>42184.646863425922</v>
      </c>
      <c r="T1388" s="14">
        <f t="shared" si="129"/>
        <v>42214.646863425922</v>
      </c>
      <c r="U1388" s="64">
        <f t="shared" si="130"/>
        <v>30</v>
      </c>
      <c r="V1388" s="13" t="str">
        <f t="shared" si="131"/>
        <v>funded</v>
      </c>
    </row>
    <row r="1389" spans="1:22" ht="48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8322</v>
      </c>
      <c r="R1389" t="s">
        <v>8323</v>
      </c>
      <c r="S1389" s="14">
        <f t="shared" si="128"/>
        <v>42126.92123842593</v>
      </c>
      <c r="T1389" s="14">
        <f t="shared" si="129"/>
        <v>42158.1875</v>
      </c>
      <c r="U1389" s="64">
        <f t="shared" si="130"/>
        <v>31.266261574070086</v>
      </c>
      <c r="V1389" s="13" t="str">
        <f t="shared" si="131"/>
        <v>funded</v>
      </c>
    </row>
    <row r="1390" spans="1:22" ht="48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8322</v>
      </c>
      <c r="R1390" t="s">
        <v>8323</v>
      </c>
      <c r="S1390" s="14">
        <f t="shared" si="128"/>
        <v>42634.614780092597</v>
      </c>
      <c r="T1390" s="14">
        <f t="shared" si="129"/>
        <v>42660.676388888889</v>
      </c>
      <c r="U1390" s="64">
        <f t="shared" si="130"/>
        <v>26.061608796291694</v>
      </c>
      <c r="V1390" s="13" t="str">
        <f t="shared" si="131"/>
        <v>funded</v>
      </c>
    </row>
    <row r="1391" spans="1:22" ht="3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8322</v>
      </c>
      <c r="R1391" t="s">
        <v>8323</v>
      </c>
      <c r="S1391" s="14">
        <f t="shared" si="128"/>
        <v>42565.480983796297</v>
      </c>
      <c r="T1391" s="14">
        <f t="shared" si="129"/>
        <v>42595.480983796297</v>
      </c>
      <c r="U1391" s="64">
        <f t="shared" si="130"/>
        <v>30</v>
      </c>
      <c r="V1391" s="13" t="str">
        <f t="shared" si="131"/>
        <v>funded</v>
      </c>
    </row>
    <row r="1392" spans="1:22" ht="48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8322</v>
      </c>
      <c r="R1392" t="s">
        <v>8323</v>
      </c>
      <c r="S1392" s="14">
        <f t="shared" si="128"/>
        <v>42087.803310185183</v>
      </c>
      <c r="T1392" s="14">
        <f t="shared" si="129"/>
        <v>42121.716666666667</v>
      </c>
      <c r="U1392" s="64">
        <f t="shared" si="130"/>
        <v>33.913356481483788</v>
      </c>
      <c r="V1392" s="13" t="str">
        <f t="shared" si="131"/>
        <v>funded</v>
      </c>
    </row>
    <row r="1393" spans="1:22" ht="48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8322</v>
      </c>
      <c r="R1393" t="s">
        <v>8323</v>
      </c>
      <c r="S1393" s="14">
        <f t="shared" si="128"/>
        <v>42193.650671296295</v>
      </c>
      <c r="T1393" s="14">
        <f t="shared" si="129"/>
        <v>42238.207638888889</v>
      </c>
      <c r="U1393" s="64">
        <f t="shared" si="130"/>
        <v>44.556967592594447</v>
      </c>
      <c r="V1393" s="13" t="str">
        <f t="shared" si="131"/>
        <v>funded</v>
      </c>
    </row>
    <row r="1394" spans="1:22" ht="48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8322</v>
      </c>
      <c r="R1394" t="s">
        <v>8323</v>
      </c>
      <c r="S1394" s="14">
        <f t="shared" si="128"/>
        <v>42401.154930555553</v>
      </c>
      <c r="T1394" s="14">
        <f t="shared" si="129"/>
        <v>42432.154930555553</v>
      </c>
      <c r="U1394" s="64">
        <f t="shared" si="130"/>
        <v>31</v>
      </c>
      <c r="V1394" s="13" t="str">
        <f t="shared" si="131"/>
        <v>funded</v>
      </c>
    </row>
    <row r="1395" spans="1:22" ht="16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8322</v>
      </c>
      <c r="R1395" t="s">
        <v>8323</v>
      </c>
      <c r="S1395" s="14">
        <f t="shared" si="128"/>
        <v>42553.681979166664</v>
      </c>
      <c r="T1395" s="14">
        <f t="shared" si="129"/>
        <v>42583.681979166664</v>
      </c>
      <c r="U1395" s="64">
        <f t="shared" si="130"/>
        <v>30</v>
      </c>
      <c r="V1395" s="13" t="str">
        <f t="shared" si="131"/>
        <v>funded</v>
      </c>
    </row>
    <row r="1396" spans="1:22" ht="48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8322</v>
      </c>
      <c r="R1396" t="s">
        <v>8323</v>
      </c>
      <c r="S1396" s="14">
        <f t="shared" si="128"/>
        <v>42752.144976851851</v>
      </c>
      <c r="T1396" s="14">
        <f t="shared" si="129"/>
        <v>42795.125</v>
      </c>
      <c r="U1396" s="64">
        <f t="shared" si="130"/>
        <v>42.980023148149485</v>
      </c>
      <c r="V1396" s="13" t="str">
        <f t="shared" si="131"/>
        <v>funded</v>
      </c>
    </row>
    <row r="1397" spans="1:22" ht="16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8322</v>
      </c>
      <c r="R1397" t="s">
        <v>8323</v>
      </c>
      <c r="S1397" s="14">
        <f t="shared" si="128"/>
        <v>42719.90834490741</v>
      </c>
      <c r="T1397" s="14">
        <f t="shared" si="129"/>
        <v>42749.90834490741</v>
      </c>
      <c r="U1397" s="64">
        <f t="shared" si="130"/>
        <v>30</v>
      </c>
      <c r="V1397" s="13" t="str">
        <f t="shared" si="131"/>
        <v>funded</v>
      </c>
    </row>
    <row r="1398" spans="1:22" ht="48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8322</v>
      </c>
      <c r="R1398" t="s">
        <v>8323</v>
      </c>
      <c r="S1398" s="14">
        <f t="shared" si="128"/>
        <v>42018.99863425926</v>
      </c>
      <c r="T1398" s="14">
        <f t="shared" si="129"/>
        <v>42048.99863425926</v>
      </c>
      <c r="U1398" s="64">
        <f t="shared" si="130"/>
        <v>30</v>
      </c>
      <c r="V1398" s="13" t="str">
        <f t="shared" si="131"/>
        <v>funded</v>
      </c>
    </row>
    <row r="1399" spans="1:22" ht="48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8322</v>
      </c>
      <c r="R1399" t="s">
        <v>8323</v>
      </c>
      <c r="S1399" s="14">
        <f t="shared" si="128"/>
        <v>42640.917939814812</v>
      </c>
      <c r="T1399" s="14">
        <f t="shared" si="129"/>
        <v>42670.888194444444</v>
      </c>
      <c r="U1399" s="64">
        <f t="shared" si="130"/>
        <v>29.970254629632109</v>
      </c>
      <c r="V1399" s="13" t="str">
        <f t="shared" si="131"/>
        <v>funded</v>
      </c>
    </row>
    <row r="1400" spans="1:22" ht="48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8322</v>
      </c>
      <c r="R1400" t="s">
        <v>8323</v>
      </c>
      <c r="S1400" s="14">
        <f t="shared" si="128"/>
        <v>42526.874236111107</v>
      </c>
      <c r="T1400" s="14">
        <f t="shared" si="129"/>
        <v>42556.874236111107</v>
      </c>
      <c r="U1400" s="64">
        <f t="shared" si="130"/>
        <v>30</v>
      </c>
      <c r="V1400" s="13" t="str">
        <f t="shared" si="131"/>
        <v>funded</v>
      </c>
    </row>
    <row r="1401" spans="1:22" ht="48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8322</v>
      </c>
      <c r="R1401" t="s">
        <v>8323</v>
      </c>
      <c r="S1401" s="14">
        <f t="shared" si="128"/>
        <v>41889.004317129627</v>
      </c>
      <c r="T1401" s="14">
        <f t="shared" si="129"/>
        <v>41919.004317129627</v>
      </c>
      <c r="U1401" s="64">
        <f t="shared" si="130"/>
        <v>30</v>
      </c>
      <c r="V1401" s="13" t="str">
        <f t="shared" si="131"/>
        <v>funded</v>
      </c>
    </row>
    <row r="1402" spans="1:22" ht="48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8322</v>
      </c>
      <c r="R1402" t="s">
        <v>8323</v>
      </c>
      <c r="S1402" s="14">
        <f t="shared" si="128"/>
        <v>42498.341122685189</v>
      </c>
      <c r="T1402" s="14">
        <f t="shared" si="129"/>
        <v>42533.229166666672</v>
      </c>
      <c r="U1402" s="64">
        <f t="shared" si="130"/>
        <v>34.888043981482042</v>
      </c>
      <c r="V1402" s="13" t="str">
        <f t="shared" si="131"/>
        <v>funded</v>
      </c>
    </row>
    <row r="1403" spans="1:22" ht="48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8322</v>
      </c>
      <c r="R1403" t="s">
        <v>8323</v>
      </c>
      <c r="S1403" s="14">
        <f t="shared" si="128"/>
        <v>41399.99622685185</v>
      </c>
      <c r="T1403" s="14">
        <f t="shared" si="129"/>
        <v>41420.99622685185</v>
      </c>
      <c r="U1403" s="64">
        <f t="shared" si="130"/>
        <v>21</v>
      </c>
      <c r="V1403" s="13" t="str">
        <f t="shared" si="131"/>
        <v>funded</v>
      </c>
    </row>
    <row r="1404" spans="1:22" ht="48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8322</v>
      </c>
      <c r="R1404" t="s">
        <v>8323</v>
      </c>
      <c r="S1404" s="14">
        <f t="shared" si="128"/>
        <v>42065.053368055553</v>
      </c>
      <c r="T1404" s="14">
        <f t="shared" si="129"/>
        <v>42125.011701388896</v>
      </c>
      <c r="U1404" s="64">
        <f t="shared" si="130"/>
        <v>59.958333333343035</v>
      </c>
      <c r="V1404" s="13" t="str">
        <f t="shared" si="131"/>
        <v>funded</v>
      </c>
    </row>
    <row r="1405" spans="1:22" ht="48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8322</v>
      </c>
      <c r="R1405" t="s">
        <v>8323</v>
      </c>
      <c r="S1405" s="14">
        <f t="shared" si="128"/>
        <v>41451.062905092593</v>
      </c>
      <c r="T1405" s="14">
        <f t="shared" si="129"/>
        <v>41481.062905092593</v>
      </c>
      <c r="U1405" s="64">
        <f t="shared" si="130"/>
        <v>30</v>
      </c>
      <c r="V1405" s="13" t="str">
        <f t="shared" si="131"/>
        <v>funded</v>
      </c>
    </row>
    <row r="1406" spans="1:22" ht="48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8319</v>
      </c>
      <c r="R1406" t="s">
        <v>8338</v>
      </c>
      <c r="S1406" s="14">
        <f t="shared" si="128"/>
        <v>42032.510243055556</v>
      </c>
      <c r="T1406" s="14">
        <f t="shared" si="129"/>
        <v>42057.510243055556</v>
      </c>
      <c r="U1406" s="64">
        <f t="shared" si="130"/>
        <v>25</v>
      </c>
      <c r="V1406" s="13" t="str">
        <f t="shared" si="131"/>
        <v>underfunded</v>
      </c>
    </row>
    <row r="1407" spans="1:22" ht="3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0" t="s">
        <v>8319</v>
      </c>
      <c r="R1407" t="s">
        <v>8338</v>
      </c>
      <c r="S1407" s="14">
        <f t="shared" si="128"/>
        <v>41941.680567129632</v>
      </c>
      <c r="T1407" s="14">
        <f t="shared" si="129"/>
        <v>41971.722233796296</v>
      </c>
      <c r="U1407" s="64">
        <f t="shared" si="130"/>
        <v>30.041666666664241</v>
      </c>
      <c r="V1407" s="13" t="str">
        <f t="shared" si="131"/>
        <v>underfunded</v>
      </c>
    </row>
    <row r="1408" spans="1:22" ht="16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0" t="s">
        <v>8319</v>
      </c>
      <c r="R1408" t="s">
        <v>8338</v>
      </c>
      <c r="S1408" s="14">
        <f t="shared" si="128"/>
        <v>42297.432951388888</v>
      </c>
      <c r="T1408" s="14">
        <f t="shared" si="129"/>
        <v>42350.416666666672</v>
      </c>
      <c r="U1408" s="64">
        <f t="shared" si="130"/>
        <v>52.983715277783631</v>
      </c>
      <c r="V1408" s="13" t="str">
        <f t="shared" si="131"/>
        <v>underfunded</v>
      </c>
    </row>
    <row r="1409" spans="1:22" ht="48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8319</v>
      </c>
      <c r="R1409" t="s">
        <v>8338</v>
      </c>
      <c r="S1409" s="14">
        <f t="shared" si="128"/>
        <v>41838.536782407406</v>
      </c>
      <c r="T1409" s="14">
        <f t="shared" si="129"/>
        <v>41863.536782407406</v>
      </c>
      <c r="U1409" s="64">
        <f t="shared" si="130"/>
        <v>25</v>
      </c>
      <c r="V1409" s="13" t="str">
        <f t="shared" si="131"/>
        <v>underfunded</v>
      </c>
    </row>
    <row r="1410" spans="1:22" ht="48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>
        <f t="shared" si="127"/>
        <v>12</v>
      </c>
      <c r="Q1410" s="10" t="s">
        <v>8319</v>
      </c>
      <c r="R1410" t="s">
        <v>8338</v>
      </c>
      <c r="S1410" s="14">
        <f t="shared" si="128"/>
        <v>42291.872175925921</v>
      </c>
      <c r="T1410" s="14">
        <f t="shared" si="129"/>
        <v>42321.913842592592</v>
      </c>
      <c r="U1410" s="64">
        <f t="shared" si="130"/>
        <v>30.041666666671517</v>
      </c>
      <c r="V1410" s="13" t="str">
        <f t="shared" si="131"/>
        <v>underfunded</v>
      </c>
    </row>
    <row r="1411" spans="1:22" ht="48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ROUND(E1411/D1411*100,0)</f>
        <v>0</v>
      </c>
      <c r="P1411">
        <f t="shared" ref="P1411:P1474" si="133">IFERROR(ROUND(E1411/L1411,2), 0)</f>
        <v>0</v>
      </c>
      <c r="Q1411" s="10" t="s">
        <v>8319</v>
      </c>
      <c r="R1411" t="s">
        <v>8338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 s="64">
        <f t="shared" ref="U1411:V1474" si="136">T1411-S1411</f>
        <v>60.041666666664241</v>
      </c>
      <c r="V1411" s="13" t="str">
        <f t="shared" ref="V1411:V1474" si="137">IF(E1411&gt;=D1411, "funded", "underfunded")</f>
        <v>underfunded</v>
      </c>
    </row>
    <row r="1412" spans="1:22" ht="48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0" t="s">
        <v>8319</v>
      </c>
      <c r="R1412" t="s">
        <v>8338</v>
      </c>
      <c r="S1412" s="14">
        <f t="shared" si="134"/>
        <v>42479.318518518514</v>
      </c>
      <c r="T1412" s="14">
        <f t="shared" si="135"/>
        <v>42524.318518518514</v>
      </c>
      <c r="U1412" s="64">
        <f t="shared" si="136"/>
        <v>45</v>
      </c>
      <c r="V1412" s="13" t="str">
        <f t="shared" si="137"/>
        <v>underfunded</v>
      </c>
    </row>
    <row r="1413" spans="1:22" ht="48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0" t="s">
        <v>8319</v>
      </c>
      <c r="R1413" t="s">
        <v>8338</v>
      </c>
      <c r="S1413" s="14">
        <f t="shared" si="134"/>
        <v>42013.059027777781</v>
      </c>
      <c r="T1413" s="14">
        <f t="shared" si="135"/>
        <v>42041.059027777781</v>
      </c>
      <c r="U1413" s="64">
        <f t="shared" si="136"/>
        <v>28</v>
      </c>
      <c r="V1413" s="13" t="str">
        <f t="shared" si="137"/>
        <v>underfunded</v>
      </c>
    </row>
    <row r="1414" spans="1:22" ht="3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8319</v>
      </c>
      <c r="R1414" t="s">
        <v>8338</v>
      </c>
      <c r="S1414" s="14">
        <f t="shared" si="134"/>
        <v>41947.063645833332</v>
      </c>
      <c r="T1414" s="14">
        <f t="shared" si="135"/>
        <v>41977.063645833332</v>
      </c>
      <c r="U1414" s="64">
        <f t="shared" si="136"/>
        <v>30</v>
      </c>
      <c r="V1414" s="13" t="str">
        <f t="shared" si="137"/>
        <v>underfunded</v>
      </c>
    </row>
    <row r="1415" spans="1:22" ht="48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8319</v>
      </c>
      <c r="R1415" t="s">
        <v>8338</v>
      </c>
      <c r="S1415" s="14">
        <f t="shared" si="134"/>
        <v>42360.437152777777</v>
      </c>
      <c r="T1415" s="14">
        <f t="shared" si="135"/>
        <v>42420.437152777777</v>
      </c>
      <c r="U1415" s="64">
        <f t="shared" si="136"/>
        <v>60</v>
      </c>
      <c r="V1415" s="13" t="str">
        <f t="shared" si="137"/>
        <v>underfunded</v>
      </c>
    </row>
    <row r="1416" spans="1:22" ht="48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0" t="s">
        <v>8319</v>
      </c>
      <c r="R1416" t="s">
        <v>8338</v>
      </c>
      <c r="S1416" s="14">
        <f t="shared" si="134"/>
        <v>42708.25309027778</v>
      </c>
      <c r="T1416" s="14">
        <f t="shared" si="135"/>
        <v>42738.25309027778</v>
      </c>
      <c r="U1416" s="64">
        <f t="shared" si="136"/>
        <v>30</v>
      </c>
      <c r="V1416" s="13" t="str">
        <f t="shared" si="137"/>
        <v>underfunded</v>
      </c>
    </row>
    <row r="1417" spans="1:22" ht="48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8319</v>
      </c>
      <c r="R1417" t="s">
        <v>8338</v>
      </c>
      <c r="S1417" s="14">
        <f t="shared" si="134"/>
        <v>42192.675821759258</v>
      </c>
      <c r="T1417" s="14">
        <f t="shared" si="135"/>
        <v>42232.675821759258</v>
      </c>
      <c r="U1417" s="64">
        <f t="shared" si="136"/>
        <v>40</v>
      </c>
      <c r="V1417" s="13" t="str">
        <f t="shared" si="137"/>
        <v>underfunded</v>
      </c>
    </row>
    <row r="1418" spans="1:22" ht="48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0" t="s">
        <v>8319</v>
      </c>
      <c r="R1418" t="s">
        <v>8338</v>
      </c>
      <c r="S1418" s="14">
        <f t="shared" si="134"/>
        <v>42299.926145833335</v>
      </c>
      <c r="T1418" s="14">
        <f t="shared" si="135"/>
        <v>42329.967812499999</v>
      </c>
      <c r="U1418" s="64">
        <f t="shared" si="136"/>
        <v>30.041666666664241</v>
      </c>
      <c r="V1418" s="13" t="str">
        <f t="shared" si="137"/>
        <v>underfunded</v>
      </c>
    </row>
    <row r="1419" spans="1:22" ht="48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8319</v>
      </c>
      <c r="R1419" t="s">
        <v>8338</v>
      </c>
      <c r="S1419" s="14">
        <f t="shared" si="134"/>
        <v>42232.15016203704</v>
      </c>
      <c r="T1419" s="14">
        <f t="shared" si="135"/>
        <v>42262.465972222228</v>
      </c>
      <c r="U1419" s="64">
        <f t="shared" si="136"/>
        <v>30.315810185187729</v>
      </c>
      <c r="V1419" s="13" t="str">
        <f t="shared" si="137"/>
        <v>underfunded</v>
      </c>
    </row>
    <row r="1420" spans="1:22" ht="6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0" t="s">
        <v>8319</v>
      </c>
      <c r="R1420" t="s">
        <v>8338</v>
      </c>
      <c r="S1420" s="14">
        <f t="shared" si="134"/>
        <v>42395.456412037034</v>
      </c>
      <c r="T1420" s="14">
        <f t="shared" si="135"/>
        <v>42425.456412037034</v>
      </c>
      <c r="U1420" s="64">
        <f t="shared" si="136"/>
        <v>30</v>
      </c>
      <c r="V1420" s="13" t="str">
        <f t="shared" si="137"/>
        <v>underfunded</v>
      </c>
    </row>
    <row r="1421" spans="1:22" ht="48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8319</v>
      </c>
      <c r="R1421" t="s">
        <v>8338</v>
      </c>
      <c r="S1421" s="14">
        <f t="shared" si="134"/>
        <v>42622.456238425926</v>
      </c>
      <c r="T1421" s="14">
        <f t="shared" si="135"/>
        <v>42652.456238425926</v>
      </c>
      <c r="U1421" s="64">
        <f t="shared" si="136"/>
        <v>30</v>
      </c>
      <c r="V1421" s="13" t="str">
        <f t="shared" si="137"/>
        <v>underfunded</v>
      </c>
    </row>
    <row r="1422" spans="1:22" ht="16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8319</v>
      </c>
      <c r="R1422" t="s">
        <v>8338</v>
      </c>
      <c r="S1422" s="14">
        <f t="shared" si="134"/>
        <v>42524.667662037042</v>
      </c>
      <c r="T1422" s="14">
        <f t="shared" si="135"/>
        <v>42549.667662037042</v>
      </c>
      <c r="U1422" s="64">
        <f t="shared" si="136"/>
        <v>25</v>
      </c>
      <c r="V1422" s="13" t="str">
        <f t="shared" si="137"/>
        <v>underfunded</v>
      </c>
    </row>
    <row r="1423" spans="1:22" ht="48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0" t="s">
        <v>8319</v>
      </c>
      <c r="R1423" t="s">
        <v>8338</v>
      </c>
      <c r="S1423" s="14">
        <f t="shared" si="134"/>
        <v>42013.915613425925</v>
      </c>
      <c r="T1423" s="14">
        <f t="shared" si="135"/>
        <v>42043.915613425925</v>
      </c>
      <c r="U1423" s="64">
        <f t="shared" si="136"/>
        <v>30</v>
      </c>
      <c r="V1423" s="13" t="str">
        <f t="shared" si="137"/>
        <v>underfunded</v>
      </c>
    </row>
    <row r="1424" spans="1:22" ht="48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0" t="s">
        <v>8319</v>
      </c>
      <c r="R1424" t="s">
        <v>8338</v>
      </c>
      <c r="S1424" s="14">
        <f t="shared" si="134"/>
        <v>42604.239629629628</v>
      </c>
      <c r="T1424" s="14">
        <f t="shared" si="135"/>
        <v>42634.239629629628</v>
      </c>
      <c r="U1424" s="64">
        <f t="shared" si="136"/>
        <v>30</v>
      </c>
      <c r="V1424" s="13" t="str">
        <f t="shared" si="137"/>
        <v>underfunded</v>
      </c>
    </row>
    <row r="1425" spans="1:22" ht="48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0" t="s">
        <v>8319</v>
      </c>
      <c r="R1425" t="s">
        <v>8338</v>
      </c>
      <c r="S1425" s="14">
        <f t="shared" si="134"/>
        <v>42340.360312500001</v>
      </c>
      <c r="T1425" s="14">
        <f t="shared" si="135"/>
        <v>42370.360312500001</v>
      </c>
      <c r="U1425" s="64">
        <f t="shared" si="136"/>
        <v>30</v>
      </c>
      <c r="V1425" s="13" t="str">
        <f t="shared" si="137"/>
        <v>underfunded</v>
      </c>
    </row>
    <row r="1426" spans="1:22" ht="48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8319</v>
      </c>
      <c r="R1426" t="s">
        <v>8338</v>
      </c>
      <c r="S1426" s="14">
        <f t="shared" si="134"/>
        <v>42676.717615740738</v>
      </c>
      <c r="T1426" s="14">
        <f t="shared" si="135"/>
        <v>42689.759282407409</v>
      </c>
      <c r="U1426" s="64">
        <f t="shared" si="136"/>
        <v>13.041666666671517</v>
      </c>
      <c r="V1426" s="13" t="str">
        <f t="shared" si="137"/>
        <v>underfunded</v>
      </c>
    </row>
    <row r="1427" spans="1:22" ht="48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0" t="s">
        <v>8319</v>
      </c>
      <c r="R1427" t="s">
        <v>8338</v>
      </c>
      <c r="S1427" s="14">
        <f t="shared" si="134"/>
        <v>42093.131469907406</v>
      </c>
      <c r="T1427" s="14">
        <f t="shared" si="135"/>
        <v>42123.131469907406</v>
      </c>
      <c r="U1427" s="64">
        <f t="shared" si="136"/>
        <v>30</v>
      </c>
      <c r="V1427" s="13" t="str">
        <f t="shared" si="137"/>
        <v>underfunded</v>
      </c>
    </row>
    <row r="1428" spans="1:22" ht="48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0" t="s">
        <v>8319</v>
      </c>
      <c r="R1428" t="s">
        <v>8338</v>
      </c>
      <c r="S1428" s="14">
        <f t="shared" si="134"/>
        <v>42180.390277777777</v>
      </c>
      <c r="T1428" s="14">
        <f t="shared" si="135"/>
        <v>42240.390277777777</v>
      </c>
      <c r="U1428" s="64">
        <f t="shared" si="136"/>
        <v>60</v>
      </c>
      <c r="V1428" s="13" t="str">
        <f t="shared" si="137"/>
        <v>underfunded</v>
      </c>
    </row>
    <row r="1429" spans="1:22" ht="48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8319</v>
      </c>
      <c r="R1429" t="s">
        <v>8338</v>
      </c>
      <c r="S1429" s="14">
        <f t="shared" si="134"/>
        <v>42601.851678240739</v>
      </c>
      <c r="T1429" s="14">
        <f t="shared" si="135"/>
        <v>42631.851678240739</v>
      </c>
      <c r="U1429" s="64">
        <f t="shared" si="136"/>
        <v>30</v>
      </c>
      <c r="V1429" s="13" t="str">
        <f t="shared" si="137"/>
        <v>underfunded</v>
      </c>
    </row>
    <row r="1430" spans="1:22" ht="48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8319</v>
      </c>
      <c r="R1430" t="s">
        <v>8338</v>
      </c>
      <c r="S1430" s="14">
        <f t="shared" si="134"/>
        <v>42432.379826388889</v>
      </c>
      <c r="T1430" s="14">
        <f t="shared" si="135"/>
        <v>42462.338159722218</v>
      </c>
      <c r="U1430" s="64">
        <f t="shared" si="136"/>
        <v>29.958333333328483</v>
      </c>
      <c r="V1430" s="13" t="str">
        <f t="shared" si="137"/>
        <v>underfunded</v>
      </c>
    </row>
    <row r="1431" spans="1:22" ht="3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0" t="s">
        <v>8319</v>
      </c>
      <c r="R1431" t="s">
        <v>8338</v>
      </c>
      <c r="S1431" s="14">
        <f t="shared" si="134"/>
        <v>42074.060671296291</v>
      </c>
      <c r="T1431" s="14">
        <f t="shared" si="135"/>
        <v>42104.060671296291</v>
      </c>
      <c r="U1431" s="64">
        <f t="shared" si="136"/>
        <v>30</v>
      </c>
      <c r="V1431" s="13" t="str">
        <f t="shared" si="137"/>
        <v>underfunded</v>
      </c>
    </row>
    <row r="1432" spans="1:22" ht="48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8319</v>
      </c>
      <c r="R1432" t="s">
        <v>8338</v>
      </c>
      <c r="S1432" s="14">
        <f t="shared" si="134"/>
        <v>41961.813518518517</v>
      </c>
      <c r="T1432" s="14">
        <f t="shared" si="135"/>
        <v>41992.813518518517</v>
      </c>
      <c r="U1432" s="64">
        <f t="shared" si="136"/>
        <v>31</v>
      </c>
      <c r="V1432" s="13" t="str">
        <f t="shared" si="137"/>
        <v>underfunded</v>
      </c>
    </row>
    <row r="1433" spans="1:22" ht="48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8319</v>
      </c>
      <c r="R1433" t="s">
        <v>8338</v>
      </c>
      <c r="S1433" s="14">
        <f t="shared" si="134"/>
        <v>42304.210833333331</v>
      </c>
      <c r="T1433" s="14">
        <f t="shared" si="135"/>
        <v>42334.252500000002</v>
      </c>
      <c r="U1433" s="64">
        <f t="shared" si="136"/>
        <v>30.041666666671517</v>
      </c>
      <c r="V1433" s="13" t="str">
        <f t="shared" si="137"/>
        <v>underfunded</v>
      </c>
    </row>
    <row r="1434" spans="1:22" ht="48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0" t="s">
        <v>8319</v>
      </c>
      <c r="R1434" t="s">
        <v>8338</v>
      </c>
      <c r="S1434" s="14">
        <f t="shared" si="134"/>
        <v>42175.780416666668</v>
      </c>
      <c r="T1434" s="14">
        <f t="shared" si="135"/>
        <v>42205.780416666668</v>
      </c>
      <c r="U1434" s="64">
        <f t="shared" si="136"/>
        <v>30</v>
      </c>
      <c r="V1434" s="13" t="str">
        <f t="shared" si="137"/>
        <v>underfunded</v>
      </c>
    </row>
    <row r="1435" spans="1:22" ht="48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8319</v>
      </c>
      <c r="R1435" t="s">
        <v>8338</v>
      </c>
      <c r="S1435" s="14">
        <f t="shared" si="134"/>
        <v>42673.625868055555</v>
      </c>
      <c r="T1435" s="14">
        <f t="shared" si="135"/>
        <v>42714.458333333328</v>
      </c>
      <c r="U1435" s="64">
        <f t="shared" si="136"/>
        <v>40.832465277773736</v>
      </c>
      <c r="V1435" s="13" t="str">
        <f t="shared" si="137"/>
        <v>underfunded</v>
      </c>
    </row>
    <row r="1436" spans="1:22" ht="48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8319</v>
      </c>
      <c r="R1436" t="s">
        <v>8338</v>
      </c>
      <c r="S1436" s="14">
        <f t="shared" si="134"/>
        <v>42142.767106481479</v>
      </c>
      <c r="T1436" s="14">
        <f t="shared" si="135"/>
        <v>42163.625</v>
      </c>
      <c r="U1436" s="64">
        <f t="shared" si="136"/>
        <v>20.85789351852145</v>
      </c>
      <c r="V1436" s="13" t="str">
        <f t="shared" si="137"/>
        <v>underfunded</v>
      </c>
    </row>
    <row r="1437" spans="1:22" ht="3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0" t="s">
        <v>8319</v>
      </c>
      <c r="R1437" t="s">
        <v>8338</v>
      </c>
      <c r="S1437" s="14">
        <f t="shared" si="134"/>
        <v>42258.780324074076</v>
      </c>
      <c r="T1437" s="14">
        <f t="shared" si="135"/>
        <v>42288.780324074076</v>
      </c>
      <c r="U1437" s="64">
        <f t="shared" si="136"/>
        <v>30</v>
      </c>
      <c r="V1437" s="13" t="str">
        <f t="shared" si="137"/>
        <v>underfunded</v>
      </c>
    </row>
    <row r="1438" spans="1:22" ht="48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8319</v>
      </c>
      <c r="R1438" t="s">
        <v>8338</v>
      </c>
      <c r="S1438" s="14">
        <f t="shared" si="134"/>
        <v>42391.35019675926</v>
      </c>
      <c r="T1438" s="14">
        <f t="shared" si="135"/>
        <v>42421.35019675926</v>
      </c>
      <c r="U1438" s="64">
        <f t="shared" si="136"/>
        <v>30</v>
      </c>
      <c r="V1438" s="13" t="str">
        <f t="shared" si="137"/>
        <v>underfunded</v>
      </c>
    </row>
    <row r="1439" spans="1:22" ht="48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8319</v>
      </c>
      <c r="R1439" t="s">
        <v>8338</v>
      </c>
      <c r="S1439" s="14">
        <f t="shared" si="134"/>
        <v>41796.531701388885</v>
      </c>
      <c r="T1439" s="14">
        <f t="shared" si="135"/>
        <v>41833.207638888889</v>
      </c>
      <c r="U1439" s="64">
        <f t="shared" si="136"/>
        <v>36.675937500003783</v>
      </c>
      <c r="V1439" s="13" t="str">
        <f t="shared" si="137"/>
        <v>underfunded</v>
      </c>
    </row>
    <row r="1440" spans="1:22" ht="48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8319</v>
      </c>
      <c r="R1440" t="s">
        <v>8338</v>
      </c>
      <c r="S1440" s="14">
        <f t="shared" si="134"/>
        <v>42457.871516203704</v>
      </c>
      <c r="T1440" s="14">
        <f t="shared" si="135"/>
        <v>42487.579861111109</v>
      </c>
      <c r="U1440" s="64">
        <f t="shared" si="136"/>
        <v>29.708344907405262</v>
      </c>
      <c r="V1440" s="13" t="str">
        <f t="shared" si="137"/>
        <v>underfunded</v>
      </c>
    </row>
    <row r="1441" spans="1:22" ht="48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8319</v>
      </c>
      <c r="R1441" t="s">
        <v>8338</v>
      </c>
      <c r="S1441" s="14">
        <f t="shared" si="134"/>
        <v>42040.829872685179</v>
      </c>
      <c r="T1441" s="14">
        <f t="shared" si="135"/>
        <v>42070.829872685179</v>
      </c>
      <c r="U1441" s="64">
        <f t="shared" si="136"/>
        <v>30</v>
      </c>
      <c r="V1441" s="13" t="str">
        <f t="shared" si="137"/>
        <v>underfunded</v>
      </c>
    </row>
    <row r="1442" spans="1:22" ht="48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0" t="s">
        <v>8319</v>
      </c>
      <c r="R1442" t="s">
        <v>8338</v>
      </c>
      <c r="S1442" s="14">
        <f t="shared" si="134"/>
        <v>42486.748414351852</v>
      </c>
      <c r="T1442" s="14">
        <f t="shared" si="135"/>
        <v>42516.748414351852</v>
      </c>
      <c r="U1442" s="64">
        <f t="shared" si="136"/>
        <v>30</v>
      </c>
      <c r="V1442" s="13" t="str">
        <f t="shared" si="137"/>
        <v>underfunded</v>
      </c>
    </row>
    <row r="1443" spans="1:22" ht="48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8319</v>
      </c>
      <c r="R1443" t="s">
        <v>8338</v>
      </c>
      <c r="S1443" s="14">
        <f t="shared" si="134"/>
        <v>42198.765844907408</v>
      </c>
      <c r="T1443" s="14">
        <f t="shared" si="135"/>
        <v>42258.765844907408</v>
      </c>
      <c r="U1443" s="64">
        <f t="shared" si="136"/>
        <v>60</v>
      </c>
      <c r="V1443" s="13" t="str">
        <f t="shared" si="137"/>
        <v>underfunded</v>
      </c>
    </row>
    <row r="1444" spans="1:22" ht="48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0" t="s">
        <v>8319</v>
      </c>
      <c r="R1444" t="s">
        <v>8338</v>
      </c>
      <c r="S1444" s="14">
        <f t="shared" si="134"/>
        <v>42485.64534722222</v>
      </c>
      <c r="T1444" s="14">
        <f t="shared" si="135"/>
        <v>42515.64534722222</v>
      </c>
      <c r="U1444" s="64">
        <f t="shared" si="136"/>
        <v>30</v>
      </c>
      <c r="V1444" s="13" t="str">
        <f t="shared" si="137"/>
        <v>underfunded</v>
      </c>
    </row>
    <row r="1445" spans="1:22" ht="48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0" t="s">
        <v>8319</v>
      </c>
      <c r="R1445" t="s">
        <v>8338</v>
      </c>
      <c r="S1445" s="14">
        <f t="shared" si="134"/>
        <v>42707.926030092596</v>
      </c>
      <c r="T1445" s="14">
        <f t="shared" si="135"/>
        <v>42737.926030092596</v>
      </c>
      <c r="U1445" s="64">
        <f t="shared" si="136"/>
        <v>30</v>
      </c>
      <c r="V1445" s="13" t="str">
        <f t="shared" si="137"/>
        <v>underfunded</v>
      </c>
    </row>
    <row r="1446" spans="1:22" ht="3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0" t="s">
        <v>8319</v>
      </c>
      <c r="R1446" t="s">
        <v>8338</v>
      </c>
      <c r="S1446" s="14">
        <f t="shared" si="134"/>
        <v>42199.873402777783</v>
      </c>
      <c r="T1446" s="14">
        <f t="shared" si="135"/>
        <v>42259.873402777783</v>
      </c>
      <c r="U1446" s="64">
        <f t="shared" si="136"/>
        <v>60</v>
      </c>
      <c r="V1446" s="13" t="str">
        <f t="shared" si="137"/>
        <v>underfunded</v>
      </c>
    </row>
    <row r="1447" spans="1:22" ht="48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0" t="s">
        <v>8319</v>
      </c>
      <c r="R1447" t="s">
        <v>8338</v>
      </c>
      <c r="S1447" s="14">
        <f t="shared" si="134"/>
        <v>42139.542303240742</v>
      </c>
      <c r="T1447" s="14">
        <f t="shared" si="135"/>
        <v>42169.542303240742</v>
      </c>
      <c r="U1447" s="64">
        <f t="shared" si="136"/>
        <v>30</v>
      </c>
      <c r="V1447" s="13" t="str">
        <f t="shared" si="137"/>
        <v>underfunded</v>
      </c>
    </row>
    <row r="1448" spans="1:22" ht="48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0" t="s">
        <v>8319</v>
      </c>
      <c r="R1448" t="s">
        <v>8338</v>
      </c>
      <c r="S1448" s="14">
        <f t="shared" si="134"/>
        <v>42461.447662037041</v>
      </c>
      <c r="T1448" s="14">
        <f t="shared" si="135"/>
        <v>42481.447662037041</v>
      </c>
      <c r="U1448" s="64">
        <f t="shared" si="136"/>
        <v>20</v>
      </c>
      <c r="V1448" s="13" t="str">
        <f t="shared" si="137"/>
        <v>underfunded</v>
      </c>
    </row>
    <row r="1449" spans="1:22" ht="3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0" t="s">
        <v>8319</v>
      </c>
      <c r="R1449" t="s">
        <v>8338</v>
      </c>
      <c r="S1449" s="14">
        <f t="shared" si="134"/>
        <v>42529.730717592596</v>
      </c>
      <c r="T1449" s="14">
        <f t="shared" si="135"/>
        <v>42559.730717592596</v>
      </c>
      <c r="U1449" s="64">
        <f t="shared" si="136"/>
        <v>30</v>
      </c>
      <c r="V1449" s="13" t="str">
        <f t="shared" si="137"/>
        <v>underfunded</v>
      </c>
    </row>
    <row r="1450" spans="1:22" ht="48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0" t="s">
        <v>8319</v>
      </c>
      <c r="R1450" t="s">
        <v>8338</v>
      </c>
      <c r="S1450" s="14">
        <f t="shared" si="134"/>
        <v>42115.936550925922</v>
      </c>
      <c r="T1450" s="14">
        <f t="shared" si="135"/>
        <v>42146.225694444445</v>
      </c>
      <c r="U1450" s="64">
        <f t="shared" si="136"/>
        <v>30.289143518522906</v>
      </c>
      <c r="V1450" s="13" t="str">
        <f t="shared" si="137"/>
        <v>underfunded</v>
      </c>
    </row>
    <row r="1451" spans="1:22" ht="48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0" t="s">
        <v>8319</v>
      </c>
      <c r="R1451" t="s">
        <v>8338</v>
      </c>
      <c r="S1451" s="14">
        <f t="shared" si="134"/>
        <v>42086.811400462961</v>
      </c>
      <c r="T1451" s="14">
        <f t="shared" si="135"/>
        <v>42134.811400462961</v>
      </c>
      <c r="U1451" s="64">
        <f t="shared" si="136"/>
        <v>48</v>
      </c>
      <c r="V1451" s="13" t="str">
        <f t="shared" si="137"/>
        <v>underfunded</v>
      </c>
    </row>
    <row r="1452" spans="1:22" ht="48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0" t="s">
        <v>8319</v>
      </c>
      <c r="R1452" t="s">
        <v>8338</v>
      </c>
      <c r="S1452" s="14">
        <f t="shared" si="134"/>
        <v>42390.171261574069</v>
      </c>
      <c r="T1452" s="14">
        <f t="shared" si="135"/>
        <v>42420.171261574069</v>
      </c>
      <c r="U1452" s="64">
        <f t="shared" si="136"/>
        <v>30</v>
      </c>
      <c r="V1452" s="13" t="str">
        <f t="shared" si="137"/>
        <v>underfunded</v>
      </c>
    </row>
    <row r="1453" spans="1:22" ht="3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0" t="s">
        <v>8319</v>
      </c>
      <c r="R1453" t="s">
        <v>8338</v>
      </c>
      <c r="S1453" s="14">
        <f t="shared" si="134"/>
        <v>41931.959016203706</v>
      </c>
      <c r="T1453" s="14">
        <f t="shared" si="135"/>
        <v>41962.00068287037</v>
      </c>
      <c r="U1453" s="64">
        <f t="shared" si="136"/>
        <v>30.041666666664241</v>
      </c>
      <c r="V1453" s="13" t="str">
        <f t="shared" si="137"/>
        <v>underfunded</v>
      </c>
    </row>
    <row r="1454" spans="1:22" ht="3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0" t="s">
        <v>8319</v>
      </c>
      <c r="R1454" t="s">
        <v>8338</v>
      </c>
      <c r="S1454" s="14">
        <f t="shared" si="134"/>
        <v>41818.703275462962</v>
      </c>
      <c r="T1454" s="14">
        <f t="shared" si="135"/>
        <v>41848.703275462962</v>
      </c>
      <c r="U1454" s="64">
        <f t="shared" si="136"/>
        <v>30</v>
      </c>
      <c r="V1454" s="13" t="str">
        <f t="shared" si="137"/>
        <v>underfunded</v>
      </c>
    </row>
    <row r="1455" spans="1:22" ht="48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0" t="s">
        <v>8319</v>
      </c>
      <c r="R1455" t="s">
        <v>8338</v>
      </c>
      <c r="S1455" s="14">
        <f t="shared" si="134"/>
        <v>42795.696145833332</v>
      </c>
      <c r="T1455" s="14">
        <f t="shared" si="135"/>
        <v>42840.654479166667</v>
      </c>
      <c r="U1455" s="64">
        <f t="shared" si="136"/>
        <v>44.958333333335759</v>
      </c>
      <c r="V1455" s="13" t="str">
        <f t="shared" si="137"/>
        <v>underfunded</v>
      </c>
    </row>
    <row r="1456" spans="1:22" ht="48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8319</v>
      </c>
      <c r="R1456" t="s">
        <v>8338</v>
      </c>
      <c r="S1456" s="14">
        <f t="shared" si="134"/>
        <v>42463.866666666669</v>
      </c>
      <c r="T1456" s="14">
        <f t="shared" si="135"/>
        <v>42484.915972222225</v>
      </c>
      <c r="U1456" s="64">
        <f t="shared" si="136"/>
        <v>21.049305555556202</v>
      </c>
      <c r="V1456" s="13" t="str">
        <f t="shared" si="137"/>
        <v>underfunded</v>
      </c>
    </row>
    <row r="1457" spans="1:22" ht="48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8319</v>
      </c>
      <c r="R1457" t="s">
        <v>8338</v>
      </c>
      <c r="S1457" s="14">
        <f t="shared" si="134"/>
        <v>41832.672685185185</v>
      </c>
      <c r="T1457" s="14">
        <f t="shared" si="135"/>
        <v>41887.568749999999</v>
      </c>
      <c r="U1457" s="64">
        <f t="shared" si="136"/>
        <v>54.896064814813144</v>
      </c>
      <c r="V1457" s="13" t="str">
        <f t="shared" si="137"/>
        <v>underfunded</v>
      </c>
    </row>
    <row r="1458" spans="1:22" ht="16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8319</v>
      </c>
      <c r="R1458" t="s">
        <v>8338</v>
      </c>
      <c r="S1458" s="14">
        <f t="shared" si="134"/>
        <v>42708.668576388889</v>
      </c>
      <c r="T1458" s="14">
        <f t="shared" si="135"/>
        <v>42738.668576388889</v>
      </c>
      <c r="U1458" s="64">
        <f t="shared" si="136"/>
        <v>30</v>
      </c>
      <c r="V1458" s="13" t="str">
        <f t="shared" si="137"/>
        <v>underfunded</v>
      </c>
    </row>
    <row r="1459" spans="1:22" ht="3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0" t="s">
        <v>8319</v>
      </c>
      <c r="R1459" t="s">
        <v>8338</v>
      </c>
      <c r="S1459" s="14">
        <f t="shared" si="134"/>
        <v>42289.89634259259</v>
      </c>
      <c r="T1459" s="14">
        <f t="shared" si="135"/>
        <v>42319.938009259262</v>
      </c>
      <c r="U1459" s="64">
        <f t="shared" si="136"/>
        <v>30.041666666671517</v>
      </c>
      <c r="V1459" s="13" t="str">
        <f t="shared" si="137"/>
        <v>underfunded</v>
      </c>
    </row>
    <row r="1460" spans="1:22" ht="48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0" t="s">
        <v>8319</v>
      </c>
      <c r="R1460" t="s">
        <v>8338</v>
      </c>
      <c r="S1460" s="14">
        <f t="shared" si="134"/>
        <v>41831.705555555556</v>
      </c>
      <c r="T1460" s="14">
        <f t="shared" si="135"/>
        <v>41862.166666666664</v>
      </c>
      <c r="U1460" s="64">
        <f t="shared" si="136"/>
        <v>30.461111111108039</v>
      </c>
      <c r="V1460" s="13" t="str">
        <f t="shared" si="137"/>
        <v>underfunded</v>
      </c>
    </row>
    <row r="1461" spans="1:22" ht="48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0" t="s">
        <v>8319</v>
      </c>
      <c r="R1461" t="s">
        <v>8338</v>
      </c>
      <c r="S1461" s="14">
        <f t="shared" si="134"/>
        <v>42312.204814814817</v>
      </c>
      <c r="T1461" s="14">
        <f t="shared" si="135"/>
        <v>42340.725694444445</v>
      </c>
      <c r="U1461" s="64">
        <f t="shared" si="136"/>
        <v>28.520879629628325</v>
      </c>
      <c r="V1461" s="13" t="str">
        <f t="shared" si="137"/>
        <v>underfunded</v>
      </c>
    </row>
    <row r="1462" spans="1:22" ht="48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0" t="s">
        <v>8319</v>
      </c>
      <c r="R1462" t="s">
        <v>8338</v>
      </c>
      <c r="S1462" s="14">
        <f t="shared" si="134"/>
        <v>41915.896967592591</v>
      </c>
      <c r="T1462" s="14">
        <f t="shared" si="135"/>
        <v>41973.989583333328</v>
      </c>
      <c r="U1462" s="64">
        <f t="shared" si="136"/>
        <v>58.092615740737529</v>
      </c>
      <c r="V1462" s="13" t="str">
        <f t="shared" si="137"/>
        <v>underfunded</v>
      </c>
    </row>
    <row r="1463" spans="1:22" ht="3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8319</v>
      </c>
      <c r="R1463" t="s">
        <v>8339</v>
      </c>
      <c r="S1463" s="14">
        <f t="shared" si="134"/>
        <v>41899.645300925928</v>
      </c>
      <c r="T1463" s="14">
        <f t="shared" si="135"/>
        <v>41933</v>
      </c>
      <c r="U1463" s="64">
        <f t="shared" si="136"/>
        <v>33.354699074072414</v>
      </c>
      <c r="V1463" s="13" t="str">
        <f t="shared" si="137"/>
        <v>funded</v>
      </c>
    </row>
    <row r="1464" spans="1:22" ht="3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8319</v>
      </c>
      <c r="R1464" t="s">
        <v>8339</v>
      </c>
      <c r="S1464" s="14">
        <f t="shared" si="134"/>
        <v>41344.662858796299</v>
      </c>
      <c r="T1464" s="14">
        <f t="shared" si="135"/>
        <v>41374.662858796299</v>
      </c>
      <c r="U1464" s="64">
        <f t="shared" si="136"/>
        <v>30</v>
      </c>
      <c r="V1464" s="13" t="str">
        <f t="shared" si="137"/>
        <v>funded</v>
      </c>
    </row>
    <row r="1465" spans="1:22" ht="48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8319</v>
      </c>
      <c r="R1465" t="s">
        <v>8339</v>
      </c>
      <c r="S1465" s="14">
        <f t="shared" si="134"/>
        <v>41326.911319444444</v>
      </c>
      <c r="T1465" s="14">
        <f t="shared" si="135"/>
        <v>41371.869652777779</v>
      </c>
      <c r="U1465" s="64">
        <f t="shared" si="136"/>
        <v>44.958333333335759</v>
      </c>
      <c r="V1465" s="13" t="str">
        <f t="shared" si="137"/>
        <v>funded</v>
      </c>
    </row>
    <row r="1466" spans="1:22" ht="16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8319</v>
      </c>
      <c r="R1466" t="s">
        <v>8339</v>
      </c>
      <c r="S1466" s="14">
        <f t="shared" si="134"/>
        <v>41291.661550925928</v>
      </c>
      <c r="T1466" s="14">
        <f t="shared" si="135"/>
        <v>41321.661550925928</v>
      </c>
      <c r="U1466" s="64">
        <f t="shared" si="136"/>
        <v>30</v>
      </c>
      <c r="V1466" s="13" t="str">
        <f t="shared" si="137"/>
        <v>funded</v>
      </c>
    </row>
    <row r="1467" spans="1:22" ht="48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8319</v>
      </c>
      <c r="R1467" t="s">
        <v>8339</v>
      </c>
      <c r="S1467" s="14">
        <f t="shared" si="134"/>
        <v>40959.734398148146</v>
      </c>
      <c r="T1467" s="14">
        <f t="shared" si="135"/>
        <v>40990.125</v>
      </c>
      <c r="U1467" s="64">
        <f t="shared" si="136"/>
        <v>30.390601851853717</v>
      </c>
      <c r="V1467" s="13" t="str">
        <f t="shared" si="137"/>
        <v>funded</v>
      </c>
    </row>
    <row r="1468" spans="1:22" ht="48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8319</v>
      </c>
      <c r="R1468" t="s">
        <v>8339</v>
      </c>
      <c r="S1468" s="14">
        <f t="shared" si="134"/>
        <v>42340.172060185185</v>
      </c>
      <c r="T1468" s="14">
        <f t="shared" si="135"/>
        <v>42381.208333333328</v>
      </c>
      <c r="U1468" s="64">
        <f t="shared" si="136"/>
        <v>41.036273148143664</v>
      </c>
      <c r="V1468" s="13" t="str">
        <f t="shared" si="137"/>
        <v>funded</v>
      </c>
    </row>
    <row r="1469" spans="1:22" ht="3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8319</v>
      </c>
      <c r="R1469" t="s">
        <v>8339</v>
      </c>
      <c r="S1469" s="14">
        <f t="shared" si="134"/>
        <v>40933.80190972222</v>
      </c>
      <c r="T1469" s="14">
        <f t="shared" si="135"/>
        <v>40993.760243055556</v>
      </c>
      <c r="U1469" s="64">
        <f t="shared" si="136"/>
        <v>59.958333333335759</v>
      </c>
      <c r="V1469" s="13" t="str">
        <f t="shared" si="137"/>
        <v>funded</v>
      </c>
    </row>
    <row r="1470" spans="1:22" ht="48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8319</v>
      </c>
      <c r="R1470" t="s">
        <v>8339</v>
      </c>
      <c r="S1470" s="14">
        <f t="shared" si="134"/>
        <v>40646.014456018522</v>
      </c>
      <c r="T1470" s="14">
        <f t="shared" si="135"/>
        <v>40706.014456018522</v>
      </c>
      <c r="U1470" s="64">
        <f t="shared" si="136"/>
        <v>60</v>
      </c>
      <c r="V1470" s="13" t="str">
        <f t="shared" si="137"/>
        <v>funded</v>
      </c>
    </row>
    <row r="1471" spans="1:22" ht="3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8319</v>
      </c>
      <c r="R1471" t="s">
        <v>8339</v>
      </c>
      <c r="S1471" s="14">
        <f t="shared" si="134"/>
        <v>41290.598483796297</v>
      </c>
      <c r="T1471" s="14">
        <f t="shared" si="135"/>
        <v>41320.598483796297</v>
      </c>
      <c r="U1471" s="64">
        <f t="shared" si="136"/>
        <v>30</v>
      </c>
      <c r="V1471" s="13" t="str">
        <f t="shared" si="137"/>
        <v>funded</v>
      </c>
    </row>
    <row r="1472" spans="1:22" ht="48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8319</v>
      </c>
      <c r="R1472" t="s">
        <v>8339</v>
      </c>
      <c r="S1472" s="14">
        <f t="shared" si="134"/>
        <v>41250.827118055553</v>
      </c>
      <c r="T1472" s="14">
        <f t="shared" si="135"/>
        <v>41271.827118055553</v>
      </c>
      <c r="U1472" s="64">
        <f t="shared" si="136"/>
        <v>21</v>
      </c>
      <c r="V1472" s="13" t="str">
        <f t="shared" si="137"/>
        <v>funded</v>
      </c>
    </row>
    <row r="1473" spans="1:22" ht="48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8319</v>
      </c>
      <c r="R1473" t="s">
        <v>8339</v>
      </c>
      <c r="S1473" s="14">
        <f t="shared" si="134"/>
        <v>42073.957569444443</v>
      </c>
      <c r="T1473" s="14">
        <f t="shared" si="135"/>
        <v>42103.957569444443</v>
      </c>
      <c r="U1473" s="64">
        <f t="shared" si="136"/>
        <v>30</v>
      </c>
      <c r="V1473" s="13" t="str">
        <f t="shared" si="137"/>
        <v>funded</v>
      </c>
    </row>
    <row r="1474" spans="1:22" ht="48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>
        <f t="shared" si="133"/>
        <v>103.2</v>
      </c>
      <c r="Q1474" s="10" t="s">
        <v>8319</v>
      </c>
      <c r="R1474" t="s">
        <v>8339</v>
      </c>
      <c r="S1474" s="14">
        <f t="shared" si="134"/>
        <v>41533.542858796296</v>
      </c>
      <c r="T1474" s="14">
        <f t="shared" si="135"/>
        <v>41563.542858796296</v>
      </c>
      <c r="U1474" s="64">
        <f t="shared" si="136"/>
        <v>30</v>
      </c>
      <c r="V1474" s="13" t="str">
        <f t="shared" si="137"/>
        <v>funded</v>
      </c>
    </row>
    <row r="1475" spans="1:22" ht="16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ROUND(E1475/D1475*100,0)</f>
        <v>121</v>
      </c>
      <c r="P1475">
        <f t="shared" ref="P1475:P1538" si="139">IFERROR(ROUND(E1475/L1475,2), 0)</f>
        <v>38.46</v>
      </c>
      <c r="Q1475" s="10" t="s">
        <v>8319</v>
      </c>
      <c r="R1475" t="s">
        <v>8339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 s="64">
        <f t="shared" ref="U1475:V1538" si="142">T1475-S1475</f>
        <v>30</v>
      </c>
      <c r="V1475" s="13" t="str">
        <f t="shared" ref="V1475:V1538" si="143">IF(E1475&gt;=D1475, "funded", "underfunded")</f>
        <v>funded</v>
      </c>
    </row>
    <row r="1476" spans="1:22" ht="48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8319</v>
      </c>
      <c r="R1476" t="s">
        <v>8339</v>
      </c>
      <c r="S1476" s="14">
        <f t="shared" si="140"/>
        <v>41500.727916666663</v>
      </c>
      <c r="T1476" s="14">
        <f t="shared" si="141"/>
        <v>41530.727916666663</v>
      </c>
      <c r="U1476" s="64">
        <f t="shared" si="142"/>
        <v>30</v>
      </c>
      <c r="V1476" s="13" t="str">
        <f t="shared" si="143"/>
        <v>funded</v>
      </c>
    </row>
    <row r="1477" spans="1:22" ht="48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8319</v>
      </c>
      <c r="R1477" t="s">
        <v>8339</v>
      </c>
      <c r="S1477" s="14">
        <f t="shared" si="140"/>
        <v>41960.722951388889</v>
      </c>
      <c r="T1477" s="14">
        <f t="shared" si="141"/>
        <v>41993.207638888889</v>
      </c>
      <c r="U1477" s="64">
        <f t="shared" si="142"/>
        <v>32.484687500000291</v>
      </c>
      <c r="V1477" s="13" t="str">
        <f t="shared" si="143"/>
        <v>funded</v>
      </c>
    </row>
    <row r="1478" spans="1:22" ht="3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8319</v>
      </c>
      <c r="R1478" t="s">
        <v>8339</v>
      </c>
      <c r="S1478" s="14">
        <f t="shared" si="140"/>
        <v>40766.041921296295</v>
      </c>
      <c r="T1478" s="14">
        <f t="shared" si="141"/>
        <v>40796.041921296295</v>
      </c>
      <c r="U1478" s="64">
        <f t="shared" si="142"/>
        <v>30</v>
      </c>
      <c r="V1478" s="13" t="str">
        <f t="shared" si="143"/>
        <v>funded</v>
      </c>
    </row>
    <row r="1479" spans="1:22" ht="48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8319</v>
      </c>
      <c r="R1479" t="s">
        <v>8339</v>
      </c>
      <c r="S1479" s="14">
        <f t="shared" si="140"/>
        <v>40840.615787037037</v>
      </c>
      <c r="T1479" s="14">
        <f t="shared" si="141"/>
        <v>40900.125</v>
      </c>
      <c r="U1479" s="64">
        <f t="shared" si="142"/>
        <v>59.50921296296292</v>
      </c>
      <c r="V1479" s="13" t="str">
        <f t="shared" si="143"/>
        <v>funded</v>
      </c>
    </row>
    <row r="1480" spans="1:22" ht="48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8319</v>
      </c>
      <c r="R1480" t="s">
        <v>8339</v>
      </c>
      <c r="S1480" s="14">
        <f t="shared" si="140"/>
        <v>41394.871678240743</v>
      </c>
      <c r="T1480" s="14">
        <f t="shared" si="141"/>
        <v>41408.871678240743</v>
      </c>
      <c r="U1480" s="64">
        <f t="shared" si="142"/>
        <v>14</v>
      </c>
      <c r="V1480" s="13" t="str">
        <f t="shared" si="143"/>
        <v>funded</v>
      </c>
    </row>
    <row r="1481" spans="1:22" ht="48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8319</v>
      </c>
      <c r="R1481" t="s">
        <v>8339</v>
      </c>
      <c r="S1481" s="14">
        <f t="shared" si="140"/>
        <v>41754.745243055557</v>
      </c>
      <c r="T1481" s="14">
        <f t="shared" si="141"/>
        <v>41769.165972222225</v>
      </c>
      <c r="U1481" s="64">
        <f t="shared" si="142"/>
        <v>14.420729166668025</v>
      </c>
      <c r="V1481" s="13" t="str">
        <f t="shared" si="143"/>
        <v>funded</v>
      </c>
    </row>
    <row r="1482" spans="1:22" ht="48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8319</v>
      </c>
      <c r="R1482" t="s">
        <v>8339</v>
      </c>
      <c r="S1482" s="14">
        <f t="shared" si="140"/>
        <v>41464.934016203704</v>
      </c>
      <c r="T1482" s="14">
        <f t="shared" si="141"/>
        <v>41481.708333333336</v>
      </c>
      <c r="U1482" s="64">
        <f t="shared" si="142"/>
        <v>16.774317129631527</v>
      </c>
      <c r="V1482" s="13" t="str">
        <f t="shared" si="143"/>
        <v>funded</v>
      </c>
    </row>
    <row r="1483" spans="1:22" ht="48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8319</v>
      </c>
      <c r="R1483" t="s">
        <v>8321</v>
      </c>
      <c r="S1483" s="14">
        <f t="shared" si="140"/>
        <v>41550.922974537039</v>
      </c>
      <c r="T1483" s="14">
        <f t="shared" si="141"/>
        <v>41580.922974537039</v>
      </c>
      <c r="U1483" s="64">
        <f t="shared" si="142"/>
        <v>30</v>
      </c>
      <c r="V1483" s="13" t="str">
        <f t="shared" si="143"/>
        <v>underfunded</v>
      </c>
    </row>
    <row r="1484" spans="1:22" ht="48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0" t="s">
        <v>8319</v>
      </c>
      <c r="R1484" t="s">
        <v>8321</v>
      </c>
      <c r="S1484" s="14">
        <f t="shared" si="140"/>
        <v>41136.85805555556</v>
      </c>
      <c r="T1484" s="14">
        <f t="shared" si="141"/>
        <v>41159.32708333333</v>
      </c>
      <c r="U1484" s="64">
        <f t="shared" si="142"/>
        <v>22.469027777769952</v>
      </c>
      <c r="V1484" s="13" t="str">
        <f t="shared" si="143"/>
        <v>underfunded</v>
      </c>
    </row>
    <row r="1485" spans="1:22" ht="48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8319</v>
      </c>
      <c r="R1485" t="s">
        <v>8321</v>
      </c>
      <c r="S1485" s="14">
        <f t="shared" si="140"/>
        <v>42548.192997685182</v>
      </c>
      <c r="T1485" s="14">
        <f t="shared" si="141"/>
        <v>42573.192997685182</v>
      </c>
      <c r="U1485" s="64">
        <f t="shared" si="142"/>
        <v>25</v>
      </c>
      <c r="V1485" s="13" t="str">
        <f t="shared" si="143"/>
        <v>underfunded</v>
      </c>
    </row>
    <row r="1486" spans="1:22" ht="16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0" t="s">
        <v>8319</v>
      </c>
      <c r="R1486" t="s">
        <v>8321</v>
      </c>
      <c r="S1486" s="14">
        <f t="shared" si="140"/>
        <v>41053.200960648144</v>
      </c>
      <c r="T1486" s="14">
        <f t="shared" si="141"/>
        <v>41111.618750000001</v>
      </c>
      <c r="U1486" s="64">
        <f t="shared" si="142"/>
        <v>58.417789351857209</v>
      </c>
      <c r="V1486" s="13" t="str">
        <f t="shared" si="143"/>
        <v>underfunded</v>
      </c>
    </row>
    <row r="1487" spans="1:22" ht="48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8319</v>
      </c>
      <c r="R1487" t="s">
        <v>8321</v>
      </c>
      <c r="S1487" s="14">
        <f t="shared" si="140"/>
        <v>42130.795983796299</v>
      </c>
      <c r="T1487" s="14">
        <f t="shared" si="141"/>
        <v>42175.795983796299</v>
      </c>
      <c r="U1487" s="64">
        <f t="shared" si="142"/>
        <v>45</v>
      </c>
      <c r="V1487" s="13" t="str">
        <f t="shared" si="143"/>
        <v>underfunded</v>
      </c>
    </row>
    <row r="1488" spans="1:22" ht="48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0" t="s">
        <v>8319</v>
      </c>
      <c r="R1488" t="s">
        <v>8321</v>
      </c>
      <c r="S1488" s="14">
        <f t="shared" si="140"/>
        <v>42032.168530092589</v>
      </c>
      <c r="T1488" s="14">
        <f t="shared" si="141"/>
        <v>42062.168530092589</v>
      </c>
      <c r="U1488" s="64">
        <f t="shared" si="142"/>
        <v>30</v>
      </c>
      <c r="V1488" s="13" t="str">
        <f t="shared" si="143"/>
        <v>underfunded</v>
      </c>
    </row>
    <row r="1489" spans="1:22" ht="48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0" t="s">
        <v>8319</v>
      </c>
      <c r="R1489" t="s">
        <v>8321</v>
      </c>
      <c r="S1489" s="14">
        <f t="shared" si="140"/>
        <v>42554.917488425926</v>
      </c>
      <c r="T1489" s="14">
        <f t="shared" si="141"/>
        <v>42584.917488425926</v>
      </c>
      <c r="U1489" s="64">
        <f t="shared" si="142"/>
        <v>30</v>
      </c>
      <c r="V1489" s="13" t="str">
        <f t="shared" si="143"/>
        <v>underfunded</v>
      </c>
    </row>
    <row r="1490" spans="1:22" ht="48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8319</v>
      </c>
      <c r="R1490" t="s">
        <v>8321</v>
      </c>
      <c r="S1490" s="14">
        <f t="shared" si="140"/>
        <v>41614.563194444447</v>
      </c>
      <c r="T1490" s="14">
        <f t="shared" si="141"/>
        <v>41644.563194444447</v>
      </c>
      <c r="U1490" s="64">
        <f t="shared" si="142"/>
        <v>30</v>
      </c>
      <c r="V1490" s="13" t="str">
        <f t="shared" si="143"/>
        <v>underfunded</v>
      </c>
    </row>
    <row r="1491" spans="1:22" ht="48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0" t="s">
        <v>8319</v>
      </c>
      <c r="R1491" t="s">
        <v>8321</v>
      </c>
      <c r="S1491" s="14">
        <f t="shared" si="140"/>
        <v>41198.611712962964</v>
      </c>
      <c r="T1491" s="14">
        <f t="shared" si="141"/>
        <v>41228.653379629628</v>
      </c>
      <c r="U1491" s="64">
        <f t="shared" si="142"/>
        <v>30.041666666664241</v>
      </c>
      <c r="V1491" s="13" t="str">
        <f t="shared" si="143"/>
        <v>underfunded</v>
      </c>
    </row>
    <row r="1492" spans="1:22" ht="48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8319</v>
      </c>
      <c r="R1492" t="s">
        <v>8321</v>
      </c>
      <c r="S1492" s="14">
        <f t="shared" si="140"/>
        <v>41520.561041666668</v>
      </c>
      <c r="T1492" s="14">
        <f t="shared" si="141"/>
        <v>41549.561041666668</v>
      </c>
      <c r="U1492" s="64">
        <f t="shared" si="142"/>
        <v>29</v>
      </c>
      <c r="V1492" s="13" t="str">
        <f t="shared" si="143"/>
        <v>underfunded</v>
      </c>
    </row>
    <row r="1493" spans="1:22" ht="3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8319</v>
      </c>
      <c r="R1493" t="s">
        <v>8321</v>
      </c>
      <c r="S1493" s="14">
        <f t="shared" si="140"/>
        <v>41991.713460648149</v>
      </c>
      <c r="T1493" s="14">
        <f t="shared" si="141"/>
        <v>42050.651388888888</v>
      </c>
      <c r="U1493" s="64">
        <f t="shared" si="142"/>
        <v>58.937928240738984</v>
      </c>
      <c r="V1493" s="13" t="str">
        <f t="shared" si="143"/>
        <v>underfunded</v>
      </c>
    </row>
    <row r="1494" spans="1:22" ht="48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8319</v>
      </c>
      <c r="R1494" t="s">
        <v>8321</v>
      </c>
      <c r="S1494" s="14">
        <f t="shared" si="140"/>
        <v>40682.884791666671</v>
      </c>
      <c r="T1494" s="14">
        <f t="shared" si="141"/>
        <v>40712.884791666671</v>
      </c>
      <c r="U1494" s="64">
        <f t="shared" si="142"/>
        <v>30</v>
      </c>
      <c r="V1494" s="13" t="str">
        <f t="shared" si="143"/>
        <v>underfunded</v>
      </c>
    </row>
    <row r="1495" spans="1:22" ht="3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0" t="s">
        <v>8319</v>
      </c>
      <c r="R1495" t="s">
        <v>8321</v>
      </c>
      <c r="S1495" s="14">
        <f t="shared" si="140"/>
        <v>41411.866608796299</v>
      </c>
      <c r="T1495" s="14">
        <f t="shared" si="141"/>
        <v>41441.866608796299</v>
      </c>
      <c r="U1495" s="64">
        <f t="shared" si="142"/>
        <v>30</v>
      </c>
      <c r="V1495" s="13" t="str">
        <f t="shared" si="143"/>
        <v>underfunded</v>
      </c>
    </row>
    <row r="1496" spans="1:22" ht="48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8319</v>
      </c>
      <c r="R1496" t="s">
        <v>8321</v>
      </c>
      <c r="S1496" s="14">
        <f t="shared" si="140"/>
        <v>42067.722372685181</v>
      </c>
      <c r="T1496" s="14">
        <f t="shared" si="141"/>
        <v>42097.651388888888</v>
      </c>
      <c r="U1496" s="64">
        <f t="shared" si="142"/>
        <v>29.929016203706851</v>
      </c>
      <c r="V1496" s="13" t="str">
        <f t="shared" si="143"/>
        <v>underfunded</v>
      </c>
    </row>
    <row r="1497" spans="1:22" ht="3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0" t="s">
        <v>8319</v>
      </c>
      <c r="R1497" t="s">
        <v>8321</v>
      </c>
      <c r="S1497" s="14">
        <f t="shared" si="140"/>
        <v>40752.789710648147</v>
      </c>
      <c r="T1497" s="14">
        <f t="shared" si="141"/>
        <v>40782.789710648147</v>
      </c>
      <c r="U1497" s="64">
        <f t="shared" si="142"/>
        <v>30</v>
      </c>
      <c r="V1497" s="13" t="str">
        <f t="shared" si="143"/>
        <v>underfunded</v>
      </c>
    </row>
    <row r="1498" spans="1:22" ht="48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0" t="s">
        <v>8319</v>
      </c>
      <c r="R1498" t="s">
        <v>8321</v>
      </c>
      <c r="S1498" s="14">
        <f t="shared" si="140"/>
        <v>41838.475219907406</v>
      </c>
      <c r="T1498" s="14">
        <f t="shared" si="141"/>
        <v>41898.475219907406</v>
      </c>
      <c r="U1498" s="64">
        <f t="shared" si="142"/>
        <v>60</v>
      </c>
      <c r="V1498" s="13" t="str">
        <f t="shared" si="143"/>
        <v>underfunded</v>
      </c>
    </row>
    <row r="1499" spans="1:22" ht="48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0" t="s">
        <v>8319</v>
      </c>
      <c r="R1499" t="s">
        <v>8321</v>
      </c>
      <c r="S1499" s="14">
        <f t="shared" si="140"/>
        <v>41444.64261574074</v>
      </c>
      <c r="T1499" s="14">
        <f t="shared" si="141"/>
        <v>41486.821527777778</v>
      </c>
      <c r="U1499" s="64">
        <f t="shared" si="142"/>
        <v>42.178912037037662</v>
      </c>
      <c r="V1499" s="13" t="str">
        <f t="shared" si="143"/>
        <v>underfunded</v>
      </c>
    </row>
    <row r="1500" spans="1:22" ht="48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8319</v>
      </c>
      <c r="R1500" t="s">
        <v>8321</v>
      </c>
      <c r="S1500" s="14">
        <f t="shared" si="140"/>
        <v>41840.983541666668</v>
      </c>
      <c r="T1500" s="14">
        <f t="shared" si="141"/>
        <v>41885.983541666668</v>
      </c>
      <c r="U1500" s="64">
        <f t="shared" si="142"/>
        <v>45</v>
      </c>
      <c r="V1500" s="13" t="str">
        <f t="shared" si="143"/>
        <v>underfunded</v>
      </c>
    </row>
    <row r="1501" spans="1:22" ht="48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0" t="s">
        <v>8319</v>
      </c>
      <c r="R1501" t="s">
        <v>8321</v>
      </c>
      <c r="S1501" s="14">
        <f t="shared" si="140"/>
        <v>42527.007326388892</v>
      </c>
      <c r="T1501" s="14">
        <f t="shared" si="141"/>
        <v>42587.007326388892</v>
      </c>
      <c r="U1501" s="64">
        <f t="shared" si="142"/>
        <v>60</v>
      </c>
      <c r="V1501" s="13" t="str">
        <f t="shared" si="143"/>
        <v>underfunded</v>
      </c>
    </row>
    <row r="1502" spans="1:22" ht="48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8319</v>
      </c>
      <c r="R1502" t="s">
        <v>8321</v>
      </c>
      <c r="S1502" s="14">
        <f t="shared" si="140"/>
        <v>41365.904594907406</v>
      </c>
      <c r="T1502" s="14">
        <f t="shared" si="141"/>
        <v>41395.904594907406</v>
      </c>
      <c r="U1502" s="64">
        <f t="shared" si="142"/>
        <v>30</v>
      </c>
      <c r="V1502" s="13" t="str">
        <f t="shared" si="143"/>
        <v>underfunded</v>
      </c>
    </row>
    <row r="1503" spans="1:22" ht="3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8335</v>
      </c>
      <c r="R1503" t="s">
        <v>8336</v>
      </c>
      <c r="S1503" s="14">
        <f t="shared" si="140"/>
        <v>42163.583599537036</v>
      </c>
      <c r="T1503" s="14">
        <f t="shared" si="141"/>
        <v>42193.583599537036</v>
      </c>
      <c r="U1503" s="64">
        <f t="shared" si="142"/>
        <v>30</v>
      </c>
      <c r="V1503" s="13" t="str">
        <f t="shared" si="143"/>
        <v>funded</v>
      </c>
    </row>
    <row r="1504" spans="1:22" ht="48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8335</v>
      </c>
      <c r="R1504" t="s">
        <v>8336</v>
      </c>
      <c r="S1504" s="14">
        <f t="shared" si="140"/>
        <v>42426.542592592596</v>
      </c>
      <c r="T1504" s="14">
        <f t="shared" si="141"/>
        <v>42454.916666666672</v>
      </c>
      <c r="U1504" s="64">
        <f t="shared" si="142"/>
        <v>28.374074074075907</v>
      </c>
      <c r="V1504" s="13" t="str">
        <f t="shared" si="143"/>
        <v>funded</v>
      </c>
    </row>
    <row r="1505" spans="1:22" ht="48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8335</v>
      </c>
      <c r="R1505" t="s">
        <v>8336</v>
      </c>
      <c r="S1505" s="14">
        <f t="shared" si="140"/>
        <v>42606.347233796296</v>
      </c>
      <c r="T1505" s="14">
        <f t="shared" si="141"/>
        <v>42666.347233796296</v>
      </c>
      <c r="U1505" s="64">
        <f t="shared" si="142"/>
        <v>60</v>
      </c>
      <c r="V1505" s="13" t="str">
        <f t="shared" si="143"/>
        <v>funded</v>
      </c>
    </row>
    <row r="1506" spans="1:22" ht="3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8335</v>
      </c>
      <c r="R1506" t="s">
        <v>8336</v>
      </c>
      <c r="S1506" s="14">
        <f t="shared" si="140"/>
        <v>41772.657685185186</v>
      </c>
      <c r="T1506" s="14">
        <f t="shared" si="141"/>
        <v>41800.356249999997</v>
      </c>
      <c r="U1506" s="64">
        <f t="shared" si="142"/>
        <v>27.698564814811107</v>
      </c>
      <c r="V1506" s="13" t="str">
        <f t="shared" si="143"/>
        <v>funded</v>
      </c>
    </row>
    <row r="1507" spans="1:22" ht="48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8335</v>
      </c>
      <c r="R1507" t="s">
        <v>8336</v>
      </c>
      <c r="S1507" s="14">
        <f t="shared" si="140"/>
        <v>42414.44332175926</v>
      </c>
      <c r="T1507" s="14">
        <f t="shared" si="141"/>
        <v>42451.834027777775</v>
      </c>
      <c r="U1507" s="64">
        <f t="shared" si="142"/>
        <v>37.39070601851563</v>
      </c>
      <c r="V1507" s="13" t="str">
        <f t="shared" si="143"/>
        <v>funded</v>
      </c>
    </row>
    <row r="1508" spans="1:22" ht="48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8335</v>
      </c>
      <c r="R1508" t="s">
        <v>8336</v>
      </c>
      <c r="S1508" s="14">
        <f t="shared" si="140"/>
        <v>41814.785925925928</v>
      </c>
      <c r="T1508" s="14">
        <f t="shared" si="141"/>
        <v>41844.785925925928</v>
      </c>
      <c r="U1508" s="64">
        <f t="shared" si="142"/>
        <v>30</v>
      </c>
      <c r="V1508" s="13" t="str">
        <f t="shared" si="143"/>
        <v>funded</v>
      </c>
    </row>
    <row r="1509" spans="1:22" ht="48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8335</v>
      </c>
      <c r="R1509" t="s">
        <v>8336</v>
      </c>
      <c r="S1509" s="14">
        <f t="shared" si="140"/>
        <v>40254.450335648151</v>
      </c>
      <c r="T1509" s="14">
        <f t="shared" si="141"/>
        <v>40313.340277777781</v>
      </c>
      <c r="U1509" s="64">
        <f t="shared" si="142"/>
        <v>58.889942129630072</v>
      </c>
      <c r="V1509" s="13" t="str">
        <f t="shared" si="143"/>
        <v>funded</v>
      </c>
    </row>
    <row r="1510" spans="1:22" ht="48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8335</v>
      </c>
      <c r="R1510" t="s">
        <v>8336</v>
      </c>
      <c r="S1510" s="14">
        <f t="shared" si="140"/>
        <v>41786.614363425928</v>
      </c>
      <c r="T1510" s="14">
        <f t="shared" si="141"/>
        <v>41817.614363425928</v>
      </c>
      <c r="U1510" s="64">
        <f t="shared" si="142"/>
        <v>31</v>
      </c>
      <c r="V1510" s="13" t="str">
        <f t="shared" si="143"/>
        <v>funded</v>
      </c>
    </row>
    <row r="1511" spans="1:22" ht="48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8335</v>
      </c>
      <c r="R1511" t="s">
        <v>8336</v>
      </c>
      <c r="S1511" s="14">
        <f t="shared" si="140"/>
        <v>42751.533391203702</v>
      </c>
      <c r="T1511" s="14">
        <f t="shared" si="141"/>
        <v>42780.957638888889</v>
      </c>
      <c r="U1511" s="64">
        <f t="shared" si="142"/>
        <v>29.424247685186856</v>
      </c>
      <c r="V1511" s="13" t="str">
        <f t="shared" si="143"/>
        <v>funded</v>
      </c>
    </row>
    <row r="1512" spans="1:22" ht="48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8335</v>
      </c>
      <c r="R1512" t="s">
        <v>8336</v>
      </c>
      <c r="S1512" s="14">
        <f t="shared" si="140"/>
        <v>41809.385162037033</v>
      </c>
      <c r="T1512" s="14">
        <f t="shared" si="141"/>
        <v>41839.385162037033</v>
      </c>
      <c r="U1512" s="64">
        <f t="shared" si="142"/>
        <v>30</v>
      </c>
      <c r="V1512" s="13" t="str">
        <f t="shared" si="143"/>
        <v>funded</v>
      </c>
    </row>
    <row r="1513" spans="1:22" ht="48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8335</v>
      </c>
      <c r="R1513" t="s">
        <v>8336</v>
      </c>
      <c r="S1513" s="14">
        <f t="shared" si="140"/>
        <v>42296.583379629628</v>
      </c>
      <c r="T1513" s="14">
        <f t="shared" si="141"/>
        <v>42326.625046296293</v>
      </c>
      <c r="U1513" s="64">
        <f t="shared" si="142"/>
        <v>30.041666666664241</v>
      </c>
      <c r="V1513" s="13" t="str">
        <f t="shared" si="143"/>
        <v>funded</v>
      </c>
    </row>
    <row r="1514" spans="1:22" ht="48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8335</v>
      </c>
      <c r="R1514" t="s">
        <v>8336</v>
      </c>
      <c r="S1514" s="14">
        <f t="shared" si="140"/>
        <v>42741.684479166666</v>
      </c>
      <c r="T1514" s="14">
        <f t="shared" si="141"/>
        <v>42771.684479166666</v>
      </c>
      <c r="U1514" s="64">
        <f t="shared" si="142"/>
        <v>30</v>
      </c>
      <c r="V1514" s="13" t="str">
        <f t="shared" si="143"/>
        <v>funded</v>
      </c>
    </row>
    <row r="1515" spans="1:22" ht="48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8335</v>
      </c>
      <c r="R1515" t="s">
        <v>8336</v>
      </c>
      <c r="S1515" s="14">
        <f t="shared" si="140"/>
        <v>41806.637337962966</v>
      </c>
      <c r="T1515" s="14">
        <f t="shared" si="141"/>
        <v>41836.637337962966</v>
      </c>
      <c r="U1515" s="64">
        <f t="shared" si="142"/>
        <v>30</v>
      </c>
      <c r="V1515" s="13" t="str">
        <f t="shared" si="143"/>
        <v>funded</v>
      </c>
    </row>
    <row r="1516" spans="1:22" ht="48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8335</v>
      </c>
      <c r="R1516" t="s">
        <v>8336</v>
      </c>
      <c r="S1516" s="14">
        <f t="shared" si="140"/>
        <v>42234.597685185188</v>
      </c>
      <c r="T1516" s="14">
        <f t="shared" si="141"/>
        <v>42274.597685185188</v>
      </c>
      <c r="U1516" s="64">
        <f t="shared" si="142"/>
        <v>40</v>
      </c>
      <c r="V1516" s="13" t="str">
        <f t="shared" si="143"/>
        <v>funded</v>
      </c>
    </row>
    <row r="1517" spans="1:22" ht="48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8335</v>
      </c>
      <c r="R1517" t="s">
        <v>8336</v>
      </c>
      <c r="S1517" s="14">
        <f t="shared" si="140"/>
        <v>42415.253437499996</v>
      </c>
      <c r="T1517" s="14">
        <f t="shared" si="141"/>
        <v>42445.211770833332</v>
      </c>
      <c r="U1517" s="64">
        <f t="shared" si="142"/>
        <v>29.958333333335759</v>
      </c>
      <c r="V1517" s="13" t="str">
        <f t="shared" si="143"/>
        <v>funded</v>
      </c>
    </row>
    <row r="1518" spans="1:22" ht="48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8335</v>
      </c>
      <c r="R1518" t="s">
        <v>8336</v>
      </c>
      <c r="S1518" s="14">
        <f t="shared" si="140"/>
        <v>42619.466342592597</v>
      </c>
      <c r="T1518" s="14">
        <f t="shared" si="141"/>
        <v>42649.583333333328</v>
      </c>
      <c r="U1518" s="64">
        <f t="shared" si="142"/>
        <v>30.116990740731126</v>
      </c>
      <c r="V1518" s="13" t="str">
        <f t="shared" si="143"/>
        <v>funded</v>
      </c>
    </row>
    <row r="1519" spans="1:22" ht="48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8335</v>
      </c>
      <c r="R1519" t="s">
        <v>8336</v>
      </c>
      <c r="S1519" s="14">
        <f t="shared" si="140"/>
        <v>41948.56658564815</v>
      </c>
      <c r="T1519" s="14">
        <f t="shared" si="141"/>
        <v>41979.25</v>
      </c>
      <c r="U1519" s="64">
        <f t="shared" si="142"/>
        <v>30.683414351849933</v>
      </c>
      <c r="V1519" s="13" t="str">
        <f t="shared" si="143"/>
        <v>funded</v>
      </c>
    </row>
    <row r="1520" spans="1:22" ht="3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8335</v>
      </c>
      <c r="R1520" t="s">
        <v>8336</v>
      </c>
      <c r="S1520" s="14">
        <f t="shared" si="140"/>
        <v>41760.8200462963</v>
      </c>
      <c r="T1520" s="14">
        <f t="shared" si="141"/>
        <v>41790.8200462963</v>
      </c>
      <c r="U1520" s="64">
        <f t="shared" si="142"/>
        <v>30</v>
      </c>
      <c r="V1520" s="13" t="str">
        <f t="shared" si="143"/>
        <v>funded</v>
      </c>
    </row>
    <row r="1521" spans="1:22" ht="48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8335</v>
      </c>
      <c r="R1521" t="s">
        <v>8336</v>
      </c>
      <c r="S1521" s="14">
        <f t="shared" si="140"/>
        <v>41782.741701388892</v>
      </c>
      <c r="T1521" s="14">
        <f t="shared" si="141"/>
        <v>41810.915972222225</v>
      </c>
      <c r="U1521" s="64">
        <f t="shared" si="142"/>
        <v>28.174270833333139</v>
      </c>
      <c r="V1521" s="13" t="str">
        <f t="shared" si="143"/>
        <v>funded</v>
      </c>
    </row>
    <row r="1522" spans="1:22" ht="3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8335</v>
      </c>
      <c r="R1522" t="s">
        <v>8336</v>
      </c>
      <c r="S1522" s="14">
        <f t="shared" si="140"/>
        <v>41955.857789351852</v>
      </c>
      <c r="T1522" s="14">
        <f t="shared" si="141"/>
        <v>41992.166666666672</v>
      </c>
      <c r="U1522" s="64">
        <f t="shared" si="142"/>
        <v>36.308877314819256</v>
      </c>
      <c r="V1522" s="13" t="str">
        <f t="shared" si="143"/>
        <v>funded</v>
      </c>
    </row>
    <row r="1523" spans="1:22" ht="48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8335</v>
      </c>
      <c r="R1523" t="s">
        <v>8336</v>
      </c>
      <c r="S1523" s="14">
        <f t="shared" si="140"/>
        <v>42493.167719907404</v>
      </c>
      <c r="T1523" s="14">
        <f t="shared" si="141"/>
        <v>42528.167719907404</v>
      </c>
      <c r="U1523" s="64">
        <f t="shared" si="142"/>
        <v>35</v>
      </c>
      <c r="V1523" s="13" t="str">
        <f t="shared" si="143"/>
        <v>funded</v>
      </c>
    </row>
    <row r="1524" spans="1:22" ht="48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8335</v>
      </c>
      <c r="R1524" t="s">
        <v>8336</v>
      </c>
      <c r="S1524" s="14">
        <f t="shared" si="140"/>
        <v>41899.830312500002</v>
      </c>
      <c r="T1524" s="14">
        <f t="shared" si="141"/>
        <v>41929.830312500002</v>
      </c>
      <c r="U1524" s="64">
        <f t="shared" si="142"/>
        <v>30</v>
      </c>
      <c r="V1524" s="13" t="str">
        <f t="shared" si="143"/>
        <v>funded</v>
      </c>
    </row>
    <row r="1525" spans="1:22" ht="48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8335</v>
      </c>
      <c r="R1525" t="s">
        <v>8336</v>
      </c>
      <c r="S1525" s="14">
        <f t="shared" si="140"/>
        <v>41964.751342592594</v>
      </c>
      <c r="T1525" s="14">
        <f t="shared" si="141"/>
        <v>41996</v>
      </c>
      <c r="U1525" s="64">
        <f t="shared" si="142"/>
        <v>31.248657407406427</v>
      </c>
      <c r="V1525" s="13" t="str">
        <f t="shared" si="143"/>
        <v>funded</v>
      </c>
    </row>
    <row r="1526" spans="1:22" ht="48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8335</v>
      </c>
      <c r="R1526" t="s">
        <v>8336</v>
      </c>
      <c r="S1526" s="14">
        <f t="shared" si="140"/>
        <v>42756.501041666663</v>
      </c>
      <c r="T1526" s="14">
        <f t="shared" si="141"/>
        <v>42786.501041666663</v>
      </c>
      <c r="U1526" s="64">
        <f t="shared" si="142"/>
        <v>30</v>
      </c>
      <c r="V1526" s="13" t="str">
        <f t="shared" si="143"/>
        <v>funded</v>
      </c>
    </row>
    <row r="1527" spans="1:22" ht="48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8335</v>
      </c>
      <c r="R1527" t="s">
        <v>8336</v>
      </c>
      <c r="S1527" s="14">
        <f t="shared" si="140"/>
        <v>42570.702986111108</v>
      </c>
      <c r="T1527" s="14">
        <f t="shared" si="141"/>
        <v>42600.702986111108</v>
      </c>
      <c r="U1527" s="64">
        <f t="shared" si="142"/>
        <v>30</v>
      </c>
      <c r="V1527" s="13" t="str">
        <f t="shared" si="143"/>
        <v>funded</v>
      </c>
    </row>
    <row r="1528" spans="1:22" ht="48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8335</v>
      </c>
      <c r="R1528" t="s">
        <v>8336</v>
      </c>
      <c r="S1528" s="14">
        <f t="shared" si="140"/>
        <v>42339.276006944448</v>
      </c>
      <c r="T1528" s="14">
        <f t="shared" si="141"/>
        <v>42388.276006944448</v>
      </c>
      <c r="U1528" s="64">
        <f t="shared" si="142"/>
        <v>49</v>
      </c>
      <c r="V1528" s="13" t="str">
        <f t="shared" si="143"/>
        <v>funded</v>
      </c>
    </row>
    <row r="1529" spans="1:22" ht="3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8335</v>
      </c>
      <c r="R1529" t="s">
        <v>8336</v>
      </c>
      <c r="S1529" s="14">
        <f t="shared" si="140"/>
        <v>42780.600532407407</v>
      </c>
      <c r="T1529" s="14">
        <f t="shared" si="141"/>
        <v>42808.558865740735</v>
      </c>
      <c r="U1529" s="64">
        <f t="shared" si="142"/>
        <v>27.958333333328483</v>
      </c>
      <c r="V1529" s="13" t="str">
        <f t="shared" si="143"/>
        <v>funded</v>
      </c>
    </row>
    <row r="1530" spans="1:22" ht="3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8335</v>
      </c>
      <c r="R1530" t="s">
        <v>8336</v>
      </c>
      <c r="S1530" s="14">
        <f t="shared" si="140"/>
        <v>42736.732893518521</v>
      </c>
      <c r="T1530" s="14">
        <f t="shared" si="141"/>
        <v>42767</v>
      </c>
      <c r="U1530" s="64">
        <f t="shared" si="142"/>
        <v>30.26710648147855</v>
      </c>
      <c r="V1530" s="13" t="str">
        <f t="shared" si="143"/>
        <v>funded</v>
      </c>
    </row>
    <row r="1531" spans="1:22" ht="3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8335</v>
      </c>
      <c r="R1531" t="s">
        <v>8336</v>
      </c>
      <c r="S1531" s="14">
        <f t="shared" si="140"/>
        <v>42052.628703703704</v>
      </c>
      <c r="T1531" s="14">
        <f t="shared" si="141"/>
        <v>42082.587037037039</v>
      </c>
      <c r="U1531" s="64">
        <f t="shared" si="142"/>
        <v>29.958333333335759</v>
      </c>
      <c r="V1531" s="13" t="str">
        <f t="shared" si="143"/>
        <v>funded</v>
      </c>
    </row>
    <row r="1532" spans="1:22" ht="48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8335</v>
      </c>
      <c r="R1532" t="s">
        <v>8336</v>
      </c>
      <c r="S1532" s="14">
        <f t="shared" si="140"/>
        <v>42275.767303240747</v>
      </c>
      <c r="T1532" s="14">
        <f t="shared" si="141"/>
        <v>42300.767303240747</v>
      </c>
      <c r="U1532" s="64">
        <f t="shared" si="142"/>
        <v>25</v>
      </c>
      <c r="V1532" s="13" t="str">
        <f t="shared" si="143"/>
        <v>funded</v>
      </c>
    </row>
    <row r="1533" spans="1:22" ht="48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8335</v>
      </c>
      <c r="R1533" t="s">
        <v>8336</v>
      </c>
      <c r="S1533" s="14">
        <f t="shared" si="140"/>
        <v>41941.802384259259</v>
      </c>
      <c r="T1533" s="14">
        <f t="shared" si="141"/>
        <v>41974.125</v>
      </c>
      <c r="U1533" s="64">
        <f t="shared" si="142"/>
        <v>32.32261574074073</v>
      </c>
      <c r="V1533" s="13" t="str">
        <f t="shared" si="143"/>
        <v>funded</v>
      </c>
    </row>
    <row r="1534" spans="1:22" ht="48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8335</v>
      </c>
      <c r="R1534" t="s">
        <v>8336</v>
      </c>
      <c r="S1534" s="14">
        <f t="shared" si="140"/>
        <v>42391.475289351853</v>
      </c>
      <c r="T1534" s="14">
        <f t="shared" si="141"/>
        <v>42415.625</v>
      </c>
      <c r="U1534" s="64">
        <f t="shared" si="142"/>
        <v>24.149710648147448</v>
      </c>
      <c r="V1534" s="13" t="str">
        <f t="shared" si="143"/>
        <v>funded</v>
      </c>
    </row>
    <row r="1535" spans="1:22" ht="3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8335</v>
      </c>
      <c r="R1535" t="s">
        <v>8336</v>
      </c>
      <c r="S1535" s="14">
        <f t="shared" si="140"/>
        <v>42443.00204861111</v>
      </c>
      <c r="T1535" s="14">
        <f t="shared" si="141"/>
        <v>42492.165972222225</v>
      </c>
      <c r="U1535" s="64">
        <f t="shared" si="142"/>
        <v>49.163923611115024</v>
      </c>
      <c r="V1535" s="13" t="str">
        <f t="shared" si="143"/>
        <v>funded</v>
      </c>
    </row>
    <row r="1536" spans="1:22" ht="48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8335</v>
      </c>
      <c r="R1536" t="s">
        <v>8336</v>
      </c>
      <c r="S1536" s="14">
        <f t="shared" si="140"/>
        <v>42221.67432870371</v>
      </c>
      <c r="T1536" s="14">
        <f t="shared" si="141"/>
        <v>42251.67432870371</v>
      </c>
      <c r="U1536" s="64">
        <f t="shared" si="142"/>
        <v>30</v>
      </c>
      <c r="V1536" s="13" t="str">
        <f t="shared" si="143"/>
        <v>funded</v>
      </c>
    </row>
    <row r="1537" spans="1:22" ht="48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8335</v>
      </c>
      <c r="R1537" t="s">
        <v>8336</v>
      </c>
      <c r="S1537" s="14">
        <f t="shared" si="140"/>
        <v>42484.829062500001</v>
      </c>
      <c r="T1537" s="14">
        <f t="shared" si="141"/>
        <v>42513.916666666672</v>
      </c>
      <c r="U1537" s="64">
        <f t="shared" si="142"/>
        <v>29.087604166670644</v>
      </c>
      <c r="V1537" s="13" t="str">
        <f t="shared" si="143"/>
        <v>funded</v>
      </c>
    </row>
    <row r="1538" spans="1:22" ht="48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>
        <f t="shared" si="139"/>
        <v>66.02</v>
      </c>
      <c r="Q1538" s="10" t="s">
        <v>8335</v>
      </c>
      <c r="R1538" t="s">
        <v>8336</v>
      </c>
      <c r="S1538" s="14">
        <f t="shared" si="140"/>
        <v>42213.802199074074</v>
      </c>
      <c r="T1538" s="14">
        <f t="shared" si="141"/>
        <v>42243.802199074074</v>
      </c>
      <c r="U1538" s="64">
        <f t="shared" si="142"/>
        <v>30</v>
      </c>
      <c r="V1538" s="13" t="str">
        <f t="shared" si="143"/>
        <v>funded</v>
      </c>
    </row>
    <row r="1539" spans="1:22" ht="48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ROUND(E1539/D1539*100,0)</f>
        <v>180</v>
      </c>
      <c r="P1539">
        <f t="shared" ref="P1539:P1602" si="145">IFERROR(ROUND(E1539/L1539,2), 0)</f>
        <v>96.38</v>
      </c>
      <c r="Q1539" s="10" t="s">
        <v>8335</v>
      </c>
      <c r="R1539" t="s">
        <v>8336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 s="64">
        <f t="shared" ref="U1539:V1602" si="148">T1539-S1539</f>
        <v>36.434872685189475</v>
      </c>
      <c r="V1539" s="13" t="str">
        <f t="shared" ref="V1539:V1602" si="149">IF(E1539&gt;=D1539, "funded", "underfunded")</f>
        <v>funded</v>
      </c>
    </row>
    <row r="1540" spans="1:22" ht="48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8335</v>
      </c>
      <c r="R1540" t="s">
        <v>8336</v>
      </c>
      <c r="S1540" s="14">
        <f t="shared" si="146"/>
        <v>41981.782060185185</v>
      </c>
      <c r="T1540" s="14">
        <f t="shared" si="147"/>
        <v>42026.782060185185</v>
      </c>
      <c r="U1540" s="64">
        <f t="shared" si="148"/>
        <v>45</v>
      </c>
      <c r="V1540" s="13" t="str">
        <f t="shared" si="149"/>
        <v>funded</v>
      </c>
    </row>
    <row r="1541" spans="1:22" ht="48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8335</v>
      </c>
      <c r="R1541" t="s">
        <v>8336</v>
      </c>
      <c r="S1541" s="14">
        <f t="shared" si="146"/>
        <v>42705.919201388882</v>
      </c>
      <c r="T1541" s="14">
        <f t="shared" si="147"/>
        <v>42738.919201388882</v>
      </c>
      <c r="U1541" s="64">
        <f t="shared" si="148"/>
        <v>33</v>
      </c>
      <c r="V1541" s="13" t="str">
        <f t="shared" si="149"/>
        <v>funded</v>
      </c>
    </row>
    <row r="1542" spans="1:22" ht="48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8335</v>
      </c>
      <c r="R1542" t="s">
        <v>8336</v>
      </c>
      <c r="S1542" s="14">
        <f t="shared" si="146"/>
        <v>41939.00712962963</v>
      </c>
      <c r="T1542" s="14">
        <f t="shared" si="147"/>
        <v>41969.052083333328</v>
      </c>
      <c r="U1542" s="64">
        <f t="shared" si="148"/>
        <v>30.044953703698411</v>
      </c>
      <c r="V1542" s="13" t="str">
        <f t="shared" si="149"/>
        <v>funded</v>
      </c>
    </row>
    <row r="1543" spans="1:22" ht="48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0" t="s">
        <v>8335</v>
      </c>
      <c r="R1543" t="s">
        <v>8340</v>
      </c>
      <c r="S1543" s="14">
        <f t="shared" si="146"/>
        <v>41974.712245370371</v>
      </c>
      <c r="T1543" s="14">
        <f t="shared" si="147"/>
        <v>42004.712245370371</v>
      </c>
      <c r="U1543" s="64">
        <f t="shared" si="148"/>
        <v>30</v>
      </c>
      <c r="V1543" s="13" t="str">
        <f t="shared" si="149"/>
        <v>underfunded</v>
      </c>
    </row>
    <row r="1544" spans="1:22" ht="48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8335</v>
      </c>
      <c r="R1544" t="s">
        <v>8340</v>
      </c>
      <c r="S1544" s="14">
        <f t="shared" si="146"/>
        <v>42170.996527777781</v>
      </c>
      <c r="T1544" s="14">
        <f t="shared" si="147"/>
        <v>42185.996527777781</v>
      </c>
      <c r="U1544" s="64">
        <f t="shared" si="148"/>
        <v>15</v>
      </c>
      <c r="V1544" s="13" t="str">
        <f t="shared" si="149"/>
        <v>underfunded</v>
      </c>
    </row>
    <row r="1545" spans="1:22" ht="48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0" t="s">
        <v>8335</v>
      </c>
      <c r="R1545" t="s">
        <v>8340</v>
      </c>
      <c r="S1545" s="14">
        <f t="shared" si="146"/>
        <v>41935.509652777779</v>
      </c>
      <c r="T1545" s="14">
        <f t="shared" si="147"/>
        <v>41965.551319444443</v>
      </c>
      <c r="U1545" s="64">
        <f t="shared" si="148"/>
        <v>30.041666666664241</v>
      </c>
      <c r="V1545" s="13" t="str">
        <f t="shared" si="149"/>
        <v>underfunded</v>
      </c>
    </row>
    <row r="1546" spans="1:22" ht="48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0" t="s">
        <v>8335</v>
      </c>
      <c r="R1546" t="s">
        <v>8340</v>
      </c>
      <c r="S1546" s="14">
        <f t="shared" si="146"/>
        <v>42053.051203703704</v>
      </c>
      <c r="T1546" s="14">
        <f t="shared" si="147"/>
        <v>42095.012499999997</v>
      </c>
      <c r="U1546" s="64">
        <f t="shared" si="148"/>
        <v>41.961296296292858</v>
      </c>
      <c r="V1546" s="13" t="str">
        <f t="shared" si="149"/>
        <v>underfunded</v>
      </c>
    </row>
    <row r="1547" spans="1:22" ht="48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0" t="s">
        <v>8335</v>
      </c>
      <c r="R1547" t="s">
        <v>8340</v>
      </c>
      <c r="S1547" s="14">
        <f t="shared" si="146"/>
        <v>42031.884652777779</v>
      </c>
      <c r="T1547" s="14">
        <f t="shared" si="147"/>
        <v>42065.886111111111</v>
      </c>
      <c r="U1547" s="64">
        <f t="shared" si="148"/>
        <v>34.001458333332266</v>
      </c>
      <c r="V1547" s="13" t="str">
        <f t="shared" si="149"/>
        <v>underfunded</v>
      </c>
    </row>
    <row r="1548" spans="1:22" ht="48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8335</v>
      </c>
      <c r="R1548" t="s">
        <v>8340</v>
      </c>
      <c r="S1548" s="14">
        <f t="shared" si="146"/>
        <v>41839.212951388887</v>
      </c>
      <c r="T1548" s="14">
        <f t="shared" si="147"/>
        <v>41899.212951388887</v>
      </c>
      <c r="U1548" s="64">
        <f t="shared" si="148"/>
        <v>60</v>
      </c>
      <c r="V1548" s="13" t="str">
        <f t="shared" si="149"/>
        <v>underfunded</v>
      </c>
    </row>
    <row r="1549" spans="1:22" ht="48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0" t="s">
        <v>8335</v>
      </c>
      <c r="R1549" t="s">
        <v>8340</v>
      </c>
      <c r="S1549" s="14">
        <f t="shared" si="146"/>
        <v>42782.426875000005</v>
      </c>
      <c r="T1549" s="14">
        <f t="shared" si="147"/>
        <v>42789.426875000005</v>
      </c>
      <c r="U1549" s="64">
        <f t="shared" si="148"/>
        <v>7</v>
      </c>
      <c r="V1549" s="13" t="str">
        <f t="shared" si="149"/>
        <v>underfunded</v>
      </c>
    </row>
    <row r="1550" spans="1:22" ht="3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8335</v>
      </c>
      <c r="R1550" t="s">
        <v>8340</v>
      </c>
      <c r="S1550" s="14">
        <f t="shared" si="146"/>
        <v>42286.88217592593</v>
      </c>
      <c r="T1550" s="14">
        <f t="shared" si="147"/>
        <v>42316.923842592587</v>
      </c>
      <c r="U1550" s="64">
        <f t="shared" si="148"/>
        <v>30.041666666656965</v>
      </c>
      <c r="V1550" s="13" t="str">
        <f t="shared" si="149"/>
        <v>underfunded</v>
      </c>
    </row>
    <row r="1551" spans="1:22" ht="48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8335</v>
      </c>
      <c r="R1551" t="s">
        <v>8340</v>
      </c>
      <c r="S1551" s="14">
        <f t="shared" si="146"/>
        <v>42281.136099537034</v>
      </c>
      <c r="T1551" s="14">
        <f t="shared" si="147"/>
        <v>42311.177766203706</v>
      </c>
      <c r="U1551" s="64">
        <f t="shared" si="148"/>
        <v>30.041666666671517</v>
      </c>
      <c r="V1551" s="13" t="str">
        <f t="shared" si="149"/>
        <v>underfunded</v>
      </c>
    </row>
    <row r="1552" spans="1:22" ht="48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8335</v>
      </c>
      <c r="R1552" t="s">
        <v>8340</v>
      </c>
      <c r="S1552" s="14">
        <f t="shared" si="146"/>
        <v>42472.449467592596</v>
      </c>
      <c r="T1552" s="14">
        <f t="shared" si="147"/>
        <v>42502.449467592596</v>
      </c>
      <c r="U1552" s="64">
        <f t="shared" si="148"/>
        <v>30</v>
      </c>
      <c r="V1552" s="13" t="str">
        <f t="shared" si="149"/>
        <v>underfunded</v>
      </c>
    </row>
    <row r="1553" spans="1:22" ht="48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0" t="s">
        <v>8335</v>
      </c>
      <c r="R1553" t="s">
        <v>8340</v>
      </c>
      <c r="S1553" s="14">
        <f t="shared" si="146"/>
        <v>42121.824525462958</v>
      </c>
      <c r="T1553" s="14">
        <f t="shared" si="147"/>
        <v>42151.824525462958</v>
      </c>
      <c r="U1553" s="64">
        <f t="shared" si="148"/>
        <v>30</v>
      </c>
      <c r="V1553" s="13" t="str">
        <f t="shared" si="149"/>
        <v>underfunded</v>
      </c>
    </row>
    <row r="1554" spans="1:22" ht="48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8335</v>
      </c>
      <c r="R1554" t="s">
        <v>8340</v>
      </c>
      <c r="S1554" s="14">
        <f t="shared" si="146"/>
        <v>41892.688750000001</v>
      </c>
      <c r="T1554" s="14">
        <f t="shared" si="147"/>
        <v>41913.165972222225</v>
      </c>
      <c r="U1554" s="64">
        <f t="shared" si="148"/>
        <v>20.477222222223645</v>
      </c>
      <c r="V1554" s="13" t="str">
        <f t="shared" si="149"/>
        <v>underfunded</v>
      </c>
    </row>
    <row r="1555" spans="1:22" ht="48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0" t="s">
        <v>8335</v>
      </c>
      <c r="R1555" t="s">
        <v>8340</v>
      </c>
      <c r="S1555" s="14">
        <f t="shared" si="146"/>
        <v>42219.282951388886</v>
      </c>
      <c r="T1555" s="14">
        <f t="shared" si="147"/>
        <v>42249.282951388886</v>
      </c>
      <c r="U1555" s="64">
        <f t="shared" si="148"/>
        <v>30</v>
      </c>
      <c r="V1555" s="13" t="str">
        <f t="shared" si="149"/>
        <v>underfunded</v>
      </c>
    </row>
    <row r="1556" spans="1:22" ht="48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0" t="s">
        <v>8335</v>
      </c>
      <c r="R1556" t="s">
        <v>8340</v>
      </c>
      <c r="S1556" s="14">
        <f t="shared" si="146"/>
        <v>42188.252199074079</v>
      </c>
      <c r="T1556" s="14">
        <f t="shared" si="147"/>
        <v>42218.252199074079</v>
      </c>
      <c r="U1556" s="64">
        <f t="shared" si="148"/>
        <v>30</v>
      </c>
      <c r="V1556" s="13" t="str">
        <f t="shared" si="149"/>
        <v>underfunded</v>
      </c>
    </row>
    <row r="1557" spans="1:22" ht="48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0" t="s">
        <v>8335</v>
      </c>
      <c r="R1557" t="s">
        <v>8340</v>
      </c>
      <c r="S1557" s="14">
        <f t="shared" si="146"/>
        <v>42241.613796296297</v>
      </c>
      <c r="T1557" s="14">
        <f t="shared" si="147"/>
        <v>42264.708333333328</v>
      </c>
      <c r="U1557" s="64">
        <f t="shared" si="148"/>
        <v>23.094537037031841</v>
      </c>
      <c r="V1557" s="13" t="str">
        <f t="shared" si="149"/>
        <v>underfunded</v>
      </c>
    </row>
    <row r="1558" spans="1:22" ht="48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8335</v>
      </c>
      <c r="R1558" t="s">
        <v>8340</v>
      </c>
      <c r="S1558" s="14">
        <f t="shared" si="146"/>
        <v>42525.153055555551</v>
      </c>
      <c r="T1558" s="14">
        <f t="shared" si="147"/>
        <v>42555.153055555551</v>
      </c>
      <c r="U1558" s="64">
        <f t="shared" si="148"/>
        <v>30</v>
      </c>
      <c r="V1558" s="13" t="str">
        <f t="shared" si="149"/>
        <v>underfunded</v>
      </c>
    </row>
    <row r="1559" spans="1:22" ht="48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8335</v>
      </c>
      <c r="R1559" t="s">
        <v>8340</v>
      </c>
      <c r="S1559" s="14">
        <f t="shared" si="146"/>
        <v>41871.65315972222</v>
      </c>
      <c r="T1559" s="14">
        <f t="shared" si="147"/>
        <v>41902.65315972222</v>
      </c>
      <c r="U1559" s="64">
        <f t="shared" si="148"/>
        <v>31</v>
      </c>
      <c r="V1559" s="13" t="str">
        <f t="shared" si="149"/>
        <v>underfunded</v>
      </c>
    </row>
    <row r="1560" spans="1:22" ht="3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8335</v>
      </c>
      <c r="R1560" t="s">
        <v>8340</v>
      </c>
      <c r="S1560" s="14">
        <f t="shared" si="146"/>
        <v>42185.397673611107</v>
      </c>
      <c r="T1560" s="14">
        <f t="shared" si="147"/>
        <v>42244.508333333331</v>
      </c>
      <c r="U1560" s="64">
        <f t="shared" si="148"/>
        <v>59.110659722224227</v>
      </c>
      <c r="V1560" s="13" t="str">
        <f t="shared" si="149"/>
        <v>underfunded</v>
      </c>
    </row>
    <row r="1561" spans="1:22" ht="3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0" t="s">
        <v>8335</v>
      </c>
      <c r="R1561" t="s">
        <v>8340</v>
      </c>
      <c r="S1561" s="14">
        <f t="shared" si="146"/>
        <v>42108.05322916666</v>
      </c>
      <c r="T1561" s="14">
        <f t="shared" si="147"/>
        <v>42123.05322916666</v>
      </c>
      <c r="U1561" s="64">
        <f t="shared" si="148"/>
        <v>15</v>
      </c>
      <c r="V1561" s="13" t="str">
        <f t="shared" si="149"/>
        <v>underfunded</v>
      </c>
    </row>
    <row r="1562" spans="1:22" ht="48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8335</v>
      </c>
      <c r="R1562" t="s">
        <v>8340</v>
      </c>
      <c r="S1562" s="14">
        <f t="shared" si="146"/>
        <v>41936.020752314813</v>
      </c>
      <c r="T1562" s="14">
        <f t="shared" si="147"/>
        <v>41956.062418981484</v>
      </c>
      <c r="U1562" s="64">
        <f t="shared" si="148"/>
        <v>20.041666666671517</v>
      </c>
      <c r="V1562" s="13" t="str">
        <f t="shared" si="149"/>
        <v>underfunded</v>
      </c>
    </row>
    <row r="1563" spans="1:22" ht="48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8319</v>
      </c>
      <c r="R1563" t="s">
        <v>8341</v>
      </c>
      <c r="S1563" s="14">
        <f t="shared" si="146"/>
        <v>41555.041701388887</v>
      </c>
      <c r="T1563" s="14">
        <f t="shared" si="147"/>
        <v>41585.083368055559</v>
      </c>
      <c r="U1563" s="64">
        <f t="shared" si="148"/>
        <v>30.041666666671517</v>
      </c>
      <c r="V1563" s="13" t="str">
        <f t="shared" si="149"/>
        <v>underfunded</v>
      </c>
    </row>
    <row r="1564" spans="1:22" ht="48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0" t="s">
        <v>8319</v>
      </c>
      <c r="R1564" t="s">
        <v>8341</v>
      </c>
      <c r="S1564" s="14">
        <f t="shared" si="146"/>
        <v>40079.566157407404</v>
      </c>
      <c r="T1564" s="14">
        <f t="shared" si="147"/>
        <v>40149.034722222219</v>
      </c>
      <c r="U1564" s="64">
        <f t="shared" si="148"/>
        <v>69.468564814815181</v>
      </c>
      <c r="V1564" s="13" t="str">
        <f t="shared" si="149"/>
        <v>underfunded</v>
      </c>
    </row>
    <row r="1565" spans="1:22" ht="48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8319</v>
      </c>
      <c r="R1565" t="s">
        <v>8341</v>
      </c>
      <c r="S1565" s="14">
        <f t="shared" si="146"/>
        <v>41652.742488425924</v>
      </c>
      <c r="T1565" s="14">
        <f t="shared" si="147"/>
        <v>41712.700821759259</v>
      </c>
      <c r="U1565" s="64">
        <f t="shared" si="148"/>
        <v>59.958333333335759</v>
      </c>
      <c r="V1565" s="13" t="str">
        <f t="shared" si="149"/>
        <v>underfunded</v>
      </c>
    </row>
    <row r="1566" spans="1:22" ht="48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0" t="s">
        <v>8319</v>
      </c>
      <c r="R1566" t="s">
        <v>8341</v>
      </c>
      <c r="S1566" s="14">
        <f t="shared" si="146"/>
        <v>42121.367002314815</v>
      </c>
      <c r="T1566" s="14">
        <f t="shared" si="147"/>
        <v>42152.836805555555</v>
      </c>
      <c r="U1566" s="64">
        <f t="shared" si="148"/>
        <v>31.469803240739566</v>
      </c>
      <c r="V1566" s="13" t="str">
        <f t="shared" si="149"/>
        <v>underfunded</v>
      </c>
    </row>
    <row r="1567" spans="1:22" ht="48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8319</v>
      </c>
      <c r="R1567" t="s">
        <v>8341</v>
      </c>
      <c r="S1567" s="14">
        <f t="shared" si="146"/>
        <v>40672.729872685188</v>
      </c>
      <c r="T1567" s="14">
        <f t="shared" si="147"/>
        <v>40702.729872685188</v>
      </c>
      <c r="U1567" s="64">
        <f t="shared" si="148"/>
        <v>30</v>
      </c>
      <c r="V1567" s="13" t="str">
        <f t="shared" si="149"/>
        <v>underfunded</v>
      </c>
    </row>
    <row r="1568" spans="1:22" ht="48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8319</v>
      </c>
      <c r="R1568" t="s">
        <v>8341</v>
      </c>
      <c r="S1568" s="14">
        <f t="shared" si="146"/>
        <v>42549.916712962964</v>
      </c>
      <c r="T1568" s="14">
        <f t="shared" si="147"/>
        <v>42578.916666666672</v>
      </c>
      <c r="U1568" s="64">
        <f t="shared" si="148"/>
        <v>28.999953703707433</v>
      </c>
      <c r="V1568" s="13" t="str">
        <f t="shared" si="149"/>
        <v>underfunded</v>
      </c>
    </row>
    <row r="1569" spans="1:22" ht="48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8319</v>
      </c>
      <c r="R1569" t="s">
        <v>8341</v>
      </c>
      <c r="S1569" s="14">
        <f t="shared" si="146"/>
        <v>41671.936863425923</v>
      </c>
      <c r="T1569" s="14">
        <f t="shared" si="147"/>
        <v>41687</v>
      </c>
      <c r="U1569" s="64">
        <f t="shared" si="148"/>
        <v>15.063136574077362</v>
      </c>
      <c r="V1569" s="13" t="str">
        <f t="shared" si="149"/>
        <v>underfunded</v>
      </c>
    </row>
    <row r="1570" spans="1:22" ht="48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8319</v>
      </c>
      <c r="R1570" t="s">
        <v>8341</v>
      </c>
      <c r="S1570" s="14">
        <f t="shared" si="146"/>
        <v>41962.062326388885</v>
      </c>
      <c r="T1570" s="14">
        <f t="shared" si="147"/>
        <v>41997.062326388885</v>
      </c>
      <c r="U1570" s="64">
        <f t="shared" si="148"/>
        <v>35</v>
      </c>
      <c r="V1570" s="13" t="str">
        <f t="shared" si="149"/>
        <v>underfunded</v>
      </c>
    </row>
    <row r="1571" spans="1:22" ht="16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0" t="s">
        <v>8319</v>
      </c>
      <c r="R1571" t="s">
        <v>8341</v>
      </c>
      <c r="S1571" s="14">
        <f t="shared" si="146"/>
        <v>41389.679560185185</v>
      </c>
      <c r="T1571" s="14">
        <f t="shared" si="147"/>
        <v>41419.679560185185</v>
      </c>
      <c r="U1571" s="64">
        <f t="shared" si="148"/>
        <v>30</v>
      </c>
      <c r="V1571" s="13" t="str">
        <f t="shared" si="149"/>
        <v>underfunded</v>
      </c>
    </row>
    <row r="1572" spans="1:22" ht="3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8319</v>
      </c>
      <c r="R1572" t="s">
        <v>8341</v>
      </c>
      <c r="S1572" s="14">
        <f t="shared" si="146"/>
        <v>42438.813449074078</v>
      </c>
      <c r="T1572" s="14">
        <f t="shared" si="147"/>
        <v>42468.771782407406</v>
      </c>
      <c r="U1572" s="64">
        <f t="shared" si="148"/>
        <v>29.958333333328483</v>
      </c>
      <c r="V1572" s="13" t="str">
        <f t="shared" si="149"/>
        <v>underfunded</v>
      </c>
    </row>
    <row r="1573" spans="1:22" ht="48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8319</v>
      </c>
      <c r="R1573" t="s">
        <v>8341</v>
      </c>
      <c r="S1573" s="14">
        <f t="shared" si="146"/>
        <v>42144.769479166673</v>
      </c>
      <c r="T1573" s="14">
        <f t="shared" si="147"/>
        <v>42174.769479166673</v>
      </c>
      <c r="U1573" s="64">
        <f t="shared" si="148"/>
        <v>30</v>
      </c>
      <c r="V1573" s="13" t="str">
        <f t="shared" si="149"/>
        <v>underfunded</v>
      </c>
    </row>
    <row r="1574" spans="1:22" ht="48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8319</v>
      </c>
      <c r="R1574" t="s">
        <v>8341</v>
      </c>
      <c r="S1574" s="14">
        <f t="shared" si="146"/>
        <v>42404.033090277779</v>
      </c>
      <c r="T1574" s="14">
        <f t="shared" si="147"/>
        <v>42428.999305555553</v>
      </c>
      <c r="U1574" s="64">
        <f t="shared" si="148"/>
        <v>24.966215277774609</v>
      </c>
      <c r="V1574" s="13" t="str">
        <f t="shared" si="149"/>
        <v>underfunded</v>
      </c>
    </row>
    <row r="1575" spans="1:22" ht="48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8319</v>
      </c>
      <c r="R1575" t="s">
        <v>8341</v>
      </c>
      <c r="S1575" s="14">
        <f t="shared" si="146"/>
        <v>42786.000023148154</v>
      </c>
      <c r="T1575" s="14">
        <f t="shared" si="147"/>
        <v>42826.165972222225</v>
      </c>
      <c r="U1575" s="64">
        <f t="shared" si="148"/>
        <v>40.16594907407125</v>
      </c>
      <c r="V1575" s="13" t="str">
        <f t="shared" si="149"/>
        <v>underfunded</v>
      </c>
    </row>
    <row r="1576" spans="1:22" ht="48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8319</v>
      </c>
      <c r="R1576" t="s">
        <v>8341</v>
      </c>
      <c r="S1576" s="14">
        <f t="shared" si="146"/>
        <v>42017.927418981482</v>
      </c>
      <c r="T1576" s="14">
        <f t="shared" si="147"/>
        <v>42052.927418981482</v>
      </c>
      <c r="U1576" s="64">
        <f t="shared" si="148"/>
        <v>35</v>
      </c>
      <c r="V1576" s="13" t="str">
        <f t="shared" si="149"/>
        <v>underfunded</v>
      </c>
    </row>
    <row r="1577" spans="1:22" ht="48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8319</v>
      </c>
      <c r="R1577" t="s">
        <v>8341</v>
      </c>
      <c r="S1577" s="14">
        <f t="shared" si="146"/>
        <v>41799.524259259262</v>
      </c>
      <c r="T1577" s="14">
        <f t="shared" si="147"/>
        <v>41829.524259259262</v>
      </c>
      <c r="U1577" s="64">
        <f t="shared" si="148"/>
        <v>30</v>
      </c>
      <c r="V1577" s="13" t="str">
        <f t="shared" si="149"/>
        <v>underfunded</v>
      </c>
    </row>
    <row r="1578" spans="1:22" ht="3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8319</v>
      </c>
      <c r="R1578" t="s">
        <v>8341</v>
      </c>
      <c r="S1578" s="14">
        <f t="shared" si="146"/>
        <v>42140.879259259258</v>
      </c>
      <c r="T1578" s="14">
        <f t="shared" si="147"/>
        <v>42185.879259259258</v>
      </c>
      <c r="U1578" s="64">
        <f t="shared" si="148"/>
        <v>45</v>
      </c>
      <c r="V1578" s="13" t="str">
        <f t="shared" si="149"/>
        <v>underfunded</v>
      </c>
    </row>
    <row r="1579" spans="1:22" ht="48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8319</v>
      </c>
      <c r="R1579" t="s">
        <v>8341</v>
      </c>
      <c r="S1579" s="14">
        <f t="shared" si="146"/>
        <v>41054.847777777781</v>
      </c>
      <c r="T1579" s="14">
        <f t="shared" si="147"/>
        <v>41114.847777777781</v>
      </c>
      <c r="U1579" s="64">
        <f t="shared" si="148"/>
        <v>60</v>
      </c>
      <c r="V1579" s="13" t="str">
        <f t="shared" si="149"/>
        <v>underfunded</v>
      </c>
    </row>
    <row r="1580" spans="1:22" ht="6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8319</v>
      </c>
      <c r="R1580" t="s">
        <v>8341</v>
      </c>
      <c r="S1580" s="14">
        <f t="shared" si="146"/>
        <v>40399.065868055557</v>
      </c>
      <c r="T1580" s="14">
        <f t="shared" si="147"/>
        <v>40423.083333333336</v>
      </c>
      <c r="U1580" s="64">
        <f t="shared" si="148"/>
        <v>24.017465277778683</v>
      </c>
      <c r="V1580" s="13" t="str">
        <f t="shared" si="149"/>
        <v>underfunded</v>
      </c>
    </row>
    <row r="1581" spans="1:22" ht="3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8319</v>
      </c>
      <c r="R1581" t="s">
        <v>8341</v>
      </c>
      <c r="S1581" s="14">
        <f t="shared" si="146"/>
        <v>41481.996423611112</v>
      </c>
      <c r="T1581" s="14">
        <f t="shared" si="147"/>
        <v>41514.996423611112</v>
      </c>
      <c r="U1581" s="64">
        <f t="shared" si="148"/>
        <v>33</v>
      </c>
      <c r="V1581" s="13" t="str">
        <f t="shared" si="149"/>
        <v>underfunded</v>
      </c>
    </row>
    <row r="1582" spans="1:22" ht="48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0" t="s">
        <v>8319</v>
      </c>
      <c r="R1582" t="s">
        <v>8341</v>
      </c>
      <c r="S1582" s="14">
        <f t="shared" si="146"/>
        <v>40990.050069444449</v>
      </c>
      <c r="T1582" s="14">
        <f t="shared" si="147"/>
        <v>41050.050069444449</v>
      </c>
      <c r="U1582" s="64">
        <f t="shared" si="148"/>
        <v>60</v>
      </c>
      <c r="V1582" s="13" t="str">
        <f t="shared" si="149"/>
        <v>underfunded</v>
      </c>
    </row>
    <row r="1583" spans="1:22" ht="48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8335</v>
      </c>
      <c r="R1583" t="s">
        <v>8342</v>
      </c>
      <c r="S1583" s="14">
        <f t="shared" si="146"/>
        <v>42325.448958333334</v>
      </c>
      <c r="T1583" s="14">
        <f t="shared" si="147"/>
        <v>42357.448958333334</v>
      </c>
      <c r="U1583" s="64">
        <f t="shared" si="148"/>
        <v>32</v>
      </c>
      <c r="V1583" s="13" t="str">
        <f t="shared" si="149"/>
        <v>underfunded</v>
      </c>
    </row>
    <row r="1584" spans="1:22" ht="3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8335</v>
      </c>
      <c r="R1584" t="s">
        <v>8342</v>
      </c>
      <c r="S1584" s="14">
        <f t="shared" si="146"/>
        <v>42246.789965277778</v>
      </c>
      <c r="T1584" s="14">
        <f t="shared" si="147"/>
        <v>42303.888888888891</v>
      </c>
      <c r="U1584" s="64">
        <f t="shared" si="148"/>
        <v>57.098923611112696</v>
      </c>
      <c r="V1584" s="13" t="str">
        <f t="shared" si="149"/>
        <v>underfunded</v>
      </c>
    </row>
    <row r="1585" spans="1:22" ht="48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0" t="s">
        <v>8335</v>
      </c>
      <c r="R1585" t="s">
        <v>8342</v>
      </c>
      <c r="S1585" s="14">
        <f t="shared" si="146"/>
        <v>41877.904988425929</v>
      </c>
      <c r="T1585" s="14">
        <f t="shared" si="147"/>
        <v>41907.904988425929</v>
      </c>
      <c r="U1585" s="64">
        <f t="shared" si="148"/>
        <v>30</v>
      </c>
      <c r="V1585" s="13" t="str">
        <f t="shared" si="149"/>
        <v>underfunded</v>
      </c>
    </row>
    <row r="1586" spans="1:22" ht="48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0" t="s">
        <v>8335</v>
      </c>
      <c r="R1586" t="s">
        <v>8342</v>
      </c>
      <c r="S1586" s="14">
        <f t="shared" si="146"/>
        <v>41779.649317129632</v>
      </c>
      <c r="T1586" s="14">
        <f t="shared" si="147"/>
        <v>41789.649317129632</v>
      </c>
      <c r="U1586" s="64">
        <f t="shared" si="148"/>
        <v>10</v>
      </c>
      <c r="V1586" s="13" t="str">
        <f t="shared" si="149"/>
        <v>underfunded</v>
      </c>
    </row>
    <row r="1587" spans="1:22" ht="48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8335</v>
      </c>
      <c r="R1587" t="s">
        <v>8342</v>
      </c>
      <c r="S1587" s="14">
        <f t="shared" si="146"/>
        <v>42707.895462962959</v>
      </c>
      <c r="T1587" s="14">
        <f t="shared" si="147"/>
        <v>42729.458333333328</v>
      </c>
      <c r="U1587" s="64">
        <f t="shared" si="148"/>
        <v>21.562870370369637</v>
      </c>
      <c r="V1587" s="13" t="str">
        <f t="shared" si="149"/>
        <v>underfunded</v>
      </c>
    </row>
    <row r="1588" spans="1:22" ht="3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0" t="s">
        <v>8335</v>
      </c>
      <c r="R1588" t="s">
        <v>8342</v>
      </c>
      <c r="S1588" s="14">
        <f t="shared" si="146"/>
        <v>42069.104421296302</v>
      </c>
      <c r="T1588" s="14">
        <f t="shared" si="147"/>
        <v>42099.062754629631</v>
      </c>
      <c r="U1588" s="64">
        <f t="shared" si="148"/>
        <v>29.958333333328483</v>
      </c>
      <c r="V1588" s="13" t="str">
        <f t="shared" si="149"/>
        <v>underfunded</v>
      </c>
    </row>
    <row r="1589" spans="1:22" ht="48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0" t="s">
        <v>8335</v>
      </c>
      <c r="R1589" t="s">
        <v>8342</v>
      </c>
      <c r="S1589" s="14">
        <f t="shared" si="146"/>
        <v>41956.950983796298</v>
      </c>
      <c r="T1589" s="14">
        <f t="shared" si="147"/>
        <v>41986.950983796298</v>
      </c>
      <c r="U1589" s="64">
        <f t="shared" si="148"/>
        <v>30</v>
      </c>
      <c r="V1589" s="13" t="str">
        <f t="shared" si="149"/>
        <v>underfunded</v>
      </c>
    </row>
    <row r="1590" spans="1:22" ht="3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0" t="s">
        <v>8335</v>
      </c>
      <c r="R1590" t="s">
        <v>8342</v>
      </c>
      <c r="S1590" s="14">
        <f t="shared" si="146"/>
        <v>42005.24998842593</v>
      </c>
      <c r="T1590" s="14">
        <f t="shared" si="147"/>
        <v>42035.841666666667</v>
      </c>
      <c r="U1590" s="64">
        <f t="shared" si="148"/>
        <v>30.591678240736655</v>
      </c>
      <c r="V1590" s="13" t="str">
        <f t="shared" si="149"/>
        <v>underfunded</v>
      </c>
    </row>
    <row r="1591" spans="1:22" ht="48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0" t="s">
        <v>8335</v>
      </c>
      <c r="R1591" t="s">
        <v>8342</v>
      </c>
      <c r="S1591" s="14">
        <f t="shared" si="146"/>
        <v>42256.984791666662</v>
      </c>
      <c r="T1591" s="14">
        <f t="shared" si="147"/>
        <v>42286.984791666662</v>
      </c>
      <c r="U1591" s="64">
        <f t="shared" si="148"/>
        <v>30</v>
      </c>
      <c r="V1591" s="13" t="str">
        <f t="shared" si="149"/>
        <v>underfunded</v>
      </c>
    </row>
    <row r="1592" spans="1:22" ht="16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8335</v>
      </c>
      <c r="R1592" t="s">
        <v>8342</v>
      </c>
      <c r="S1592" s="14">
        <f t="shared" si="146"/>
        <v>42240.857222222221</v>
      </c>
      <c r="T1592" s="14">
        <f t="shared" si="147"/>
        <v>42270.857222222221</v>
      </c>
      <c r="U1592" s="64">
        <f t="shared" si="148"/>
        <v>30</v>
      </c>
      <c r="V1592" s="13" t="str">
        <f t="shared" si="149"/>
        <v>underfunded</v>
      </c>
    </row>
    <row r="1593" spans="1:22" ht="48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8335</v>
      </c>
      <c r="R1593" t="s">
        <v>8342</v>
      </c>
      <c r="S1593" s="14">
        <f t="shared" si="146"/>
        <v>42433.726168981477</v>
      </c>
      <c r="T1593" s="14">
        <f t="shared" si="147"/>
        <v>42463.68450231482</v>
      </c>
      <c r="U1593" s="64">
        <f t="shared" si="148"/>
        <v>29.958333333343035</v>
      </c>
      <c r="V1593" s="13" t="str">
        <f t="shared" si="149"/>
        <v>underfunded</v>
      </c>
    </row>
    <row r="1594" spans="1:22" ht="3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0" t="s">
        <v>8335</v>
      </c>
      <c r="R1594" t="s">
        <v>8342</v>
      </c>
      <c r="S1594" s="14">
        <f t="shared" si="146"/>
        <v>42046.072743055556</v>
      </c>
      <c r="T1594" s="14">
        <f t="shared" si="147"/>
        <v>42091.031076388885</v>
      </c>
      <c r="U1594" s="64">
        <f t="shared" si="148"/>
        <v>44.958333333328483</v>
      </c>
      <c r="V1594" s="13" t="str">
        <f t="shared" si="149"/>
        <v>underfunded</v>
      </c>
    </row>
    <row r="1595" spans="1:22" ht="3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0" t="s">
        <v>8335</v>
      </c>
      <c r="R1595" t="s">
        <v>8342</v>
      </c>
      <c r="S1595" s="14">
        <f t="shared" si="146"/>
        <v>42033.845543981486</v>
      </c>
      <c r="T1595" s="14">
        <f t="shared" si="147"/>
        <v>42063.845543981486</v>
      </c>
      <c r="U1595" s="64">
        <f t="shared" si="148"/>
        <v>30</v>
      </c>
      <c r="V1595" s="13" t="str">
        <f t="shared" si="149"/>
        <v>underfunded</v>
      </c>
    </row>
    <row r="1596" spans="1:22" ht="3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8335</v>
      </c>
      <c r="R1596" t="s">
        <v>8342</v>
      </c>
      <c r="S1596" s="14">
        <f t="shared" si="146"/>
        <v>42445.712754629625</v>
      </c>
      <c r="T1596" s="14">
        <f t="shared" si="147"/>
        <v>42505.681249999994</v>
      </c>
      <c r="U1596" s="64">
        <f t="shared" si="148"/>
        <v>59.968495370369055</v>
      </c>
      <c r="V1596" s="13" t="str">
        <f t="shared" si="149"/>
        <v>underfunded</v>
      </c>
    </row>
    <row r="1597" spans="1:22" ht="48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0" t="s">
        <v>8335</v>
      </c>
      <c r="R1597" t="s">
        <v>8342</v>
      </c>
      <c r="S1597" s="14">
        <f t="shared" si="146"/>
        <v>41780.050092592595</v>
      </c>
      <c r="T1597" s="14">
        <f t="shared" si="147"/>
        <v>41808.842361111114</v>
      </c>
      <c r="U1597" s="64">
        <f t="shared" si="148"/>
        <v>28.79226851851854</v>
      </c>
      <c r="V1597" s="13" t="str">
        <f t="shared" si="149"/>
        <v>underfunded</v>
      </c>
    </row>
    <row r="1598" spans="1:22" ht="3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8335</v>
      </c>
      <c r="R1598" t="s">
        <v>8342</v>
      </c>
      <c r="S1598" s="14">
        <f t="shared" si="146"/>
        <v>41941.430196759262</v>
      </c>
      <c r="T1598" s="14">
        <f t="shared" si="147"/>
        <v>41986.471863425926</v>
      </c>
      <c r="U1598" s="64">
        <f t="shared" si="148"/>
        <v>45.041666666664241</v>
      </c>
      <c r="V1598" s="13" t="str">
        <f t="shared" si="149"/>
        <v>underfunded</v>
      </c>
    </row>
    <row r="1599" spans="1:22" ht="48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0" t="s">
        <v>8335</v>
      </c>
      <c r="R1599" t="s">
        <v>8342</v>
      </c>
      <c r="S1599" s="14">
        <f t="shared" si="146"/>
        <v>42603.354131944448</v>
      </c>
      <c r="T1599" s="14">
        <f t="shared" si="147"/>
        <v>42633.354131944448</v>
      </c>
      <c r="U1599" s="64">
        <f t="shared" si="148"/>
        <v>30</v>
      </c>
      <c r="V1599" s="13" t="str">
        <f t="shared" si="149"/>
        <v>underfunded</v>
      </c>
    </row>
    <row r="1600" spans="1:22" ht="48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0" t="s">
        <v>8335</v>
      </c>
      <c r="R1600" t="s">
        <v>8342</v>
      </c>
      <c r="S1600" s="14">
        <f t="shared" si="146"/>
        <v>42151.667337962965</v>
      </c>
      <c r="T1600" s="14">
        <f t="shared" si="147"/>
        <v>42211.667337962965</v>
      </c>
      <c r="U1600" s="64">
        <f t="shared" si="148"/>
        <v>60</v>
      </c>
      <c r="V1600" s="13" t="str">
        <f t="shared" si="149"/>
        <v>underfunded</v>
      </c>
    </row>
    <row r="1601" spans="1:22" ht="48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0" t="s">
        <v>8335</v>
      </c>
      <c r="R1601" t="s">
        <v>8342</v>
      </c>
      <c r="S1601" s="14">
        <f t="shared" si="146"/>
        <v>42438.53907407407</v>
      </c>
      <c r="T1601" s="14">
        <f t="shared" si="147"/>
        <v>42468.497407407413</v>
      </c>
      <c r="U1601" s="64">
        <f t="shared" si="148"/>
        <v>29.958333333343035</v>
      </c>
      <c r="V1601" s="13" t="str">
        <f t="shared" si="149"/>
        <v>underfunded</v>
      </c>
    </row>
    <row r="1602" spans="1:22" ht="48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>
        <f t="shared" si="145"/>
        <v>40.78</v>
      </c>
      <c r="Q1602" s="10" t="s">
        <v>8335</v>
      </c>
      <c r="R1602" t="s">
        <v>8342</v>
      </c>
      <c r="S1602" s="14">
        <f t="shared" si="146"/>
        <v>41791.057314814818</v>
      </c>
      <c r="T1602" s="14">
        <f t="shared" si="147"/>
        <v>41835.21597222222</v>
      </c>
      <c r="U1602" s="64">
        <f t="shared" si="148"/>
        <v>44.158657407402643</v>
      </c>
      <c r="V1602" s="13" t="str">
        <f t="shared" si="149"/>
        <v>underfunded</v>
      </c>
    </row>
    <row r="1603" spans="1:22" ht="48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ROUND(E1603/D1603*100,0)</f>
        <v>108</v>
      </c>
      <c r="P1603">
        <f t="shared" ref="P1603:P1666" si="151">IFERROR(ROUND(E1603/L1603,2), 0)</f>
        <v>48.33</v>
      </c>
      <c r="Q1603" s="10" t="s">
        <v>8322</v>
      </c>
      <c r="R1603" t="s">
        <v>8323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 s="64">
        <f t="shared" ref="U1603:V1666" si="154">T1603-S1603</f>
        <v>30</v>
      </c>
      <c r="V1603" s="13" t="str">
        <f t="shared" ref="V1603:V1666" si="155">IF(E1603&gt;=D1603, "funded", "underfunded")</f>
        <v>funded</v>
      </c>
    </row>
    <row r="1604" spans="1:22" ht="48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8322</v>
      </c>
      <c r="R1604" t="s">
        <v>8323</v>
      </c>
      <c r="S1604" s="14">
        <f t="shared" si="152"/>
        <v>40788.297650462962</v>
      </c>
      <c r="T1604" s="14">
        <f t="shared" si="153"/>
        <v>40830.958333333336</v>
      </c>
      <c r="U1604" s="64">
        <f t="shared" si="154"/>
        <v>42.660682870373421</v>
      </c>
      <c r="V1604" s="13" t="str">
        <f t="shared" si="155"/>
        <v>funded</v>
      </c>
    </row>
    <row r="1605" spans="1:22" ht="3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8322</v>
      </c>
      <c r="R1605" t="s">
        <v>8323</v>
      </c>
      <c r="S1605" s="14">
        <f t="shared" si="152"/>
        <v>40876.169664351852</v>
      </c>
      <c r="T1605" s="14">
        <f t="shared" si="153"/>
        <v>40936.169664351852</v>
      </c>
      <c r="U1605" s="64">
        <f t="shared" si="154"/>
        <v>60</v>
      </c>
      <c r="V1605" s="13" t="str">
        <f t="shared" si="155"/>
        <v>funded</v>
      </c>
    </row>
    <row r="1606" spans="1:22" ht="48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8322</v>
      </c>
      <c r="R1606" t="s">
        <v>8323</v>
      </c>
      <c r="S1606" s="14">
        <f t="shared" si="152"/>
        <v>40945.845312500001</v>
      </c>
      <c r="T1606" s="14">
        <f t="shared" si="153"/>
        <v>40985.80364583333</v>
      </c>
      <c r="U1606" s="64">
        <f t="shared" si="154"/>
        <v>39.958333333328483</v>
      </c>
      <c r="V1606" s="13" t="str">
        <f t="shared" si="155"/>
        <v>funded</v>
      </c>
    </row>
    <row r="1607" spans="1:22" ht="48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8322</v>
      </c>
      <c r="R1607" t="s">
        <v>8323</v>
      </c>
      <c r="S1607" s="14">
        <f t="shared" si="152"/>
        <v>40747.012881944444</v>
      </c>
      <c r="T1607" s="14">
        <f t="shared" si="153"/>
        <v>40756.291666666664</v>
      </c>
      <c r="U1607" s="64">
        <f t="shared" si="154"/>
        <v>9.2787847222207347</v>
      </c>
      <c r="V1607" s="13" t="str">
        <f t="shared" si="155"/>
        <v>funded</v>
      </c>
    </row>
    <row r="1608" spans="1:22" ht="48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8322</v>
      </c>
      <c r="R1608" t="s">
        <v>8323</v>
      </c>
      <c r="S1608" s="14">
        <f t="shared" si="152"/>
        <v>40536.111550925925</v>
      </c>
      <c r="T1608" s="14">
        <f t="shared" si="153"/>
        <v>40626.069884259261</v>
      </c>
      <c r="U1608" s="64">
        <f t="shared" si="154"/>
        <v>89.958333333335759</v>
      </c>
      <c r="V1608" s="13" t="str">
        <f t="shared" si="155"/>
        <v>funded</v>
      </c>
    </row>
    <row r="1609" spans="1:22" ht="48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8322</v>
      </c>
      <c r="R1609" t="s">
        <v>8323</v>
      </c>
      <c r="S1609" s="14">
        <f t="shared" si="152"/>
        <v>41053.80846064815</v>
      </c>
      <c r="T1609" s="14">
        <f t="shared" si="153"/>
        <v>41074.80846064815</v>
      </c>
      <c r="U1609" s="64">
        <f t="shared" si="154"/>
        <v>21</v>
      </c>
      <c r="V1609" s="13" t="str">
        <f t="shared" si="155"/>
        <v>funded</v>
      </c>
    </row>
    <row r="1610" spans="1:22" ht="3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8322</v>
      </c>
      <c r="R1610" t="s">
        <v>8323</v>
      </c>
      <c r="S1610" s="14">
        <f t="shared" si="152"/>
        <v>41607.83085648148</v>
      </c>
      <c r="T1610" s="14">
        <f t="shared" si="153"/>
        <v>41640.226388888892</v>
      </c>
      <c r="U1610" s="64">
        <f t="shared" si="154"/>
        <v>32.395532407412247</v>
      </c>
      <c r="V1610" s="13" t="str">
        <f t="shared" si="155"/>
        <v>funded</v>
      </c>
    </row>
    <row r="1611" spans="1:22" ht="48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8322</v>
      </c>
      <c r="R1611" t="s">
        <v>8323</v>
      </c>
      <c r="S1611" s="14">
        <f t="shared" si="152"/>
        <v>40796.001261574071</v>
      </c>
      <c r="T1611" s="14">
        <f t="shared" si="153"/>
        <v>40849.333333333336</v>
      </c>
      <c r="U1611" s="64">
        <f t="shared" si="154"/>
        <v>53.332071759265091</v>
      </c>
      <c r="V1611" s="13" t="str">
        <f t="shared" si="155"/>
        <v>funded</v>
      </c>
    </row>
    <row r="1612" spans="1:22" ht="3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8322</v>
      </c>
      <c r="R1612" t="s">
        <v>8323</v>
      </c>
      <c r="S1612" s="14">
        <f t="shared" si="152"/>
        <v>41228.924884259257</v>
      </c>
      <c r="T1612" s="14">
        <f t="shared" si="153"/>
        <v>41258.924884259257</v>
      </c>
      <c r="U1612" s="64">
        <f t="shared" si="154"/>
        <v>30</v>
      </c>
      <c r="V1612" s="13" t="str">
        <f t="shared" si="155"/>
        <v>funded</v>
      </c>
    </row>
    <row r="1613" spans="1:22" ht="16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8322</v>
      </c>
      <c r="R1613" t="s">
        <v>8323</v>
      </c>
      <c r="S1613" s="14">
        <f t="shared" si="152"/>
        <v>41409.00037037037</v>
      </c>
      <c r="T1613" s="14">
        <f t="shared" si="153"/>
        <v>41430.00037037037</v>
      </c>
      <c r="U1613" s="64">
        <f t="shared" si="154"/>
        <v>21</v>
      </c>
      <c r="V1613" s="13" t="str">
        <f t="shared" si="155"/>
        <v>funded</v>
      </c>
    </row>
    <row r="1614" spans="1:22" ht="3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8322</v>
      </c>
      <c r="R1614" t="s">
        <v>8323</v>
      </c>
      <c r="S1614" s="14">
        <f t="shared" si="152"/>
        <v>41246.874814814815</v>
      </c>
      <c r="T1614" s="14">
        <f t="shared" si="153"/>
        <v>41276.874814814815</v>
      </c>
      <c r="U1614" s="64">
        <f t="shared" si="154"/>
        <v>30</v>
      </c>
      <c r="V1614" s="13" t="str">
        <f t="shared" si="155"/>
        <v>funded</v>
      </c>
    </row>
    <row r="1615" spans="1:22" ht="48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8322</v>
      </c>
      <c r="R1615" t="s">
        <v>8323</v>
      </c>
      <c r="S1615" s="14">
        <f t="shared" si="152"/>
        <v>41082.069467592592</v>
      </c>
      <c r="T1615" s="14">
        <f t="shared" si="153"/>
        <v>41112.069467592592</v>
      </c>
      <c r="U1615" s="64">
        <f t="shared" si="154"/>
        <v>30</v>
      </c>
      <c r="V1615" s="13" t="str">
        <f t="shared" si="155"/>
        <v>funded</v>
      </c>
    </row>
    <row r="1616" spans="1:22" ht="48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8322</v>
      </c>
      <c r="R1616" t="s">
        <v>8323</v>
      </c>
      <c r="S1616" s="14">
        <f t="shared" si="152"/>
        <v>41794.981122685182</v>
      </c>
      <c r="T1616" s="14">
        <f t="shared" si="153"/>
        <v>41854.708333333336</v>
      </c>
      <c r="U1616" s="64">
        <f t="shared" si="154"/>
        <v>59.727210648154141</v>
      </c>
      <c r="V1616" s="13" t="str">
        <f t="shared" si="155"/>
        <v>funded</v>
      </c>
    </row>
    <row r="1617" spans="1:22" ht="48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8322</v>
      </c>
      <c r="R1617" t="s">
        <v>8323</v>
      </c>
      <c r="S1617" s="14">
        <f t="shared" si="152"/>
        <v>40845.050879629627</v>
      </c>
      <c r="T1617" s="14">
        <f t="shared" si="153"/>
        <v>40890.092546296299</v>
      </c>
      <c r="U1617" s="64">
        <f t="shared" si="154"/>
        <v>45.041666666671517</v>
      </c>
      <c r="V1617" s="13" t="str">
        <f t="shared" si="155"/>
        <v>funded</v>
      </c>
    </row>
    <row r="1618" spans="1:22" ht="48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8322</v>
      </c>
      <c r="R1618" t="s">
        <v>8323</v>
      </c>
      <c r="S1618" s="14">
        <f t="shared" si="152"/>
        <v>41194.715520833335</v>
      </c>
      <c r="T1618" s="14">
        <f t="shared" si="153"/>
        <v>41235.916666666664</v>
      </c>
      <c r="U1618" s="64">
        <f t="shared" si="154"/>
        <v>41.201145833329065</v>
      </c>
      <c r="V1618" s="13" t="str">
        <f t="shared" si="155"/>
        <v>funded</v>
      </c>
    </row>
    <row r="1619" spans="1:22" ht="3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8322</v>
      </c>
      <c r="R1619" t="s">
        <v>8323</v>
      </c>
      <c r="S1619" s="14">
        <f t="shared" si="152"/>
        <v>41546.664212962962</v>
      </c>
      <c r="T1619" s="14">
        <f t="shared" si="153"/>
        <v>41579.791666666664</v>
      </c>
      <c r="U1619" s="64">
        <f t="shared" si="154"/>
        <v>33.127453703702486</v>
      </c>
      <c r="V1619" s="13" t="str">
        <f t="shared" si="155"/>
        <v>funded</v>
      </c>
    </row>
    <row r="1620" spans="1:22" ht="3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8322</v>
      </c>
      <c r="R1620" t="s">
        <v>8323</v>
      </c>
      <c r="S1620" s="14">
        <f t="shared" si="152"/>
        <v>41301.654340277775</v>
      </c>
      <c r="T1620" s="14">
        <f t="shared" si="153"/>
        <v>41341.654340277775</v>
      </c>
      <c r="U1620" s="64">
        <f t="shared" si="154"/>
        <v>40</v>
      </c>
      <c r="V1620" s="13" t="str">
        <f t="shared" si="155"/>
        <v>funded</v>
      </c>
    </row>
    <row r="1621" spans="1:22" ht="48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8322</v>
      </c>
      <c r="R1621" t="s">
        <v>8323</v>
      </c>
      <c r="S1621" s="14">
        <f t="shared" si="152"/>
        <v>41876.18618055556</v>
      </c>
      <c r="T1621" s="14">
        <f t="shared" si="153"/>
        <v>41897.18618055556</v>
      </c>
      <c r="U1621" s="64">
        <f t="shared" si="154"/>
        <v>21</v>
      </c>
      <c r="V1621" s="13" t="str">
        <f t="shared" si="155"/>
        <v>funded</v>
      </c>
    </row>
    <row r="1622" spans="1:22" ht="3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8322</v>
      </c>
      <c r="R1622" t="s">
        <v>8323</v>
      </c>
      <c r="S1622" s="14">
        <f t="shared" si="152"/>
        <v>41321.339583333334</v>
      </c>
      <c r="T1622" s="14">
        <f t="shared" si="153"/>
        <v>41328.339583333334</v>
      </c>
      <c r="U1622" s="64">
        <f t="shared" si="154"/>
        <v>7</v>
      </c>
      <c r="V1622" s="13" t="str">
        <f t="shared" si="155"/>
        <v>funded</v>
      </c>
    </row>
    <row r="1623" spans="1:22" ht="48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8322</v>
      </c>
      <c r="R1623" t="s">
        <v>8323</v>
      </c>
      <c r="S1623" s="14">
        <f t="shared" si="152"/>
        <v>41003.60665509259</v>
      </c>
      <c r="T1623" s="14">
        <f t="shared" si="153"/>
        <v>41057.165972222225</v>
      </c>
      <c r="U1623" s="64">
        <f t="shared" si="154"/>
        <v>53.559317129635019</v>
      </c>
      <c r="V1623" s="13" t="str">
        <f t="shared" si="155"/>
        <v>funded</v>
      </c>
    </row>
    <row r="1624" spans="1:22" ht="48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8322</v>
      </c>
      <c r="R1624" t="s">
        <v>8323</v>
      </c>
      <c r="S1624" s="14">
        <f t="shared" si="152"/>
        <v>41950.29483796296</v>
      </c>
      <c r="T1624" s="14">
        <f t="shared" si="153"/>
        <v>41990.332638888889</v>
      </c>
      <c r="U1624" s="64">
        <f t="shared" si="154"/>
        <v>40.037800925929332</v>
      </c>
      <c r="V1624" s="13" t="str">
        <f t="shared" si="155"/>
        <v>funded</v>
      </c>
    </row>
    <row r="1625" spans="1:22" ht="48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8322</v>
      </c>
      <c r="R1625" t="s">
        <v>8323</v>
      </c>
      <c r="S1625" s="14">
        <f t="shared" si="152"/>
        <v>41453.688530092593</v>
      </c>
      <c r="T1625" s="14">
        <f t="shared" si="153"/>
        <v>41513.688530092593</v>
      </c>
      <c r="U1625" s="64">
        <f t="shared" si="154"/>
        <v>60</v>
      </c>
      <c r="V1625" s="13" t="str">
        <f t="shared" si="155"/>
        <v>funded</v>
      </c>
    </row>
    <row r="1626" spans="1:22" ht="3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8322</v>
      </c>
      <c r="R1626" t="s">
        <v>8323</v>
      </c>
      <c r="S1626" s="14">
        <f t="shared" si="152"/>
        <v>41243.367303240739</v>
      </c>
      <c r="T1626" s="14">
        <f t="shared" si="153"/>
        <v>41283.367303240739</v>
      </c>
      <c r="U1626" s="64">
        <f t="shared" si="154"/>
        <v>40</v>
      </c>
      <c r="V1626" s="13" t="str">
        <f t="shared" si="155"/>
        <v>funded</v>
      </c>
    </row>
    <row r="1627" spans="1:22" ht="48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8322</v>
      </c>
      <c r="R1627" t="s">
        <v>8323</v>
      </c>
      <c r="S1627" s="14">
        <f t="shared" si="152"/>
        <v>41135.699687500004</v>
      </c>
      <c r="T1627" s="14">
        <f t="shared" si="153"/>
        <v>41163.699687500004</v>
      </c>
      <c r="U1627" s="64">
        <f t="shared" si="154"/>
        <v>28</v>
      </c>
      <c r="V1627" s="13" t="str">
        <f t="shared" si="155"/>
        <v>funded</v>
      </c>
    </row>
    <row r="1628" spans="1:22" ht="48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8322</v>
      </c>
      <c r="R1628" t="s">
        <v>8323</v>
      </c>
      <c r="S1628" s="14">
        <f t="shared" si="152"/>
        <v>41579.847997685189</v>
      </c>
      <c r="T1628" s="14">
        <f t="shared" si="153"/>
        <v>41609.889664351853</v>
      </c>
      <c r="U1628" s="64">
        <f t="shared" si="154"/>
        <v>30.041666666664241</v>
      </c>
      <c r="V1628" s="13" t="str">
        <f t="shared" si="155"/>
        <v>funded</v>
      </c>
    </row>
    <row r="1629" spans="1:22" ht="48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8322</v>
      </c>
      <c r="R1629" t="s">
        <v>8323</v>
      </c>
      <c r="S1629" s="14">
        <f t="shared" si="152"/>
        <v>41205.707048611112</v>
      </c>
      <c r="T1629" s="14">
        <f t="shared" si="153"/>
        <v>41239.207638888889</v>
      </c>
      <c r="U1629" s="64">
        <f t="shared" si="154"/>
        <v>33.500590277777519</v>
      </c>
      <c r="V1629" s="13" t="str">
        <f t="shared" si="155"/>
        <v>funded</v>
      </c>
    </row>
    <row r="1630" spans="1:22" ht="3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8322</v>
      </c>
      <c r="R1630" t="s">
        <v>8323</v>
      </c>
      <c r="S1630" s="14">
        <f t="shared" si="152"/>
        <v>41774.737060185187</v>
      </c>
      <c r="T1630" s="14">
        <f t="shared" si="153"/>
        <v>41807.737060185187</v>
      </c>
      <c r="U1630" s="64">
        <f t="shared" si="154"/>
        <v>33</v>
      </c>
      <c r="V1630" s="13" t="str">
        <f t="shared" si="155"/>
        <v>funded</v>
      </c>
    </row>
    <row r="1631" spans="1:22" ht="3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8322</v>
      </c>
      <c r="R1631" t="s">
        <v>8323</v>
      </c>
      <c r="S1631" s="14">
        <f t="shared" si="152"/>
        <v>41645.867280092592</v>
      </c>
      <c r="T1631" s="14">
        <f t="shared" si="153"/>
        <v>41690.867280092592</v>
      </c>
      <c r="U1631" s="64">
        <f t="shared" si="154"/>
        <v>45</v>
      </c>
      <c r="V1631" s="13" t="str">
        <f t="shared" si="155"/>
        <v>funded</v>
      </c>
    </row>
    <row r="1632" spans="1:22" ht="48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8322</v>
      </c>
      <c r="R1632" t="s">
        <v>8323</v>
      </c>
      <c r="S1632" s="14">
        <f t="shared" si="152"/>
        <v>40939.837673611109</v>
      </c>
      <c r="T1632" s="14">
        <f t="shared" si="153"/>
        <v>40970.290972222225</v>
      </c>
      <c r="U1632" s="64">
        <f t="shared" si="154"/>
        <v>30.453298611115315</v>
      </c>
      <c r="V1632" s="13" t="str">
        <f t="shared" si="155"/>
        <v>funded</v>
      </c>
    </row>
    <row r="1633" spans="1:22" ht="48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8322</v>
      </c>
      <c r="R1633" t="s">
        <v>8323</v>
      </c>
      <c r="S1633" s="14">
        <f t="shared" si="152"/>
        <v>41164.859502314815</v>
      </c>
      <c r="T1633" s="14">
        <f t="shared" si="153"/>
        <v>41194.859502314815</v>
      </c>
      <c r="U1633" s="64">
        <f t="shared" si="154"/>
        <v>30</v>
      </c>
      <c r="V1633" s="13" t="str">
        <f t="shared" si="155"/>
        <v>funded</v>
      </c>
    </row>
    <row r="1634" spans="1:22" ht="48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8322</v>
      </c>
      <c r="R1634" t="s">
        <v>8323</v>
      </c>
      <c r="S1634" s="14">
        <f t="shared" si="152"/>
        <v>40750.340902777774</v>
      </c>
      <c r="T1634" s="14">
        <f t="shared" si="153"/>
        <v>40810.340902777774</v>
      </c>
      <c r="U1634" s="64">
        <f t="shared" si="154"/>
        <v>60</v>
      </c>
      <c r="V1634" s="13" t="str">
        <f t="shared" si="155"/>
        <v>funded</v>
      </c>
    </row>
    <row r="1635" spans="1:22" ht="48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8322</v>
      </c>
      <c r="R1635" t="s">
        <v>8323</v>
      </c>
      <c r="S1635" s="14">
        <f t="shared" si="152"/>
        <v>40896.883750000001</v>
      </c>
      <c r="T1635" s="14">
        <f t="shared" si="153"/>
        <v>40924.208333333336</v>
      </c>
      <c r="U1635" s="64">
        <f t="shared" si="154"/>
        <v>27.324583333334886</v>
      </c>
      <c r="V1635" s="13" t="str">
        <f t="shared" si="155"/>
        <v>funded</v>
      </c>
    </row>
    <row r="1636" spans="1:22" ht="3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8322</v>
      </c>
      <c r="R1636" t="s">
        <v>8323</v>
      </c>
      <c r="S1636" s="14">
        <f t="shared" si="152"/>
        <v>40658.189826388887</v>
      </c>
      <c r="T1636" s="14">
        <f t="shared" si="153"/>
        <v>40696.249305555553</v>
      </c>
      <c r="U1636" s="64">
        <f t="shared" si="154"/>
        <v>38.059479166666279</v>
      </c>
      <c r="V1636" s="13" t="str">
        <f t="shared" si="155"/>
        <v>funded</v>
      </c>
    </row>
    <row r="1637" spans="1:22" ht="48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8322</v>
      </c>
      <c r="R1637" t="s">
        <v>8323</v>
      </c>
      <c r="S1637" s="14">
        <f t="shared" si="152"/>
        <v>42502.868761574078</v>
      </c>
      <c r="T1637" s="14">
        <f t="shared" si="153"/>
        <v>42562.868761574078</v>
      </c>
      <c r="U1637" s="64">
        <f t="shared" si="154"/>
        <v>60</v>
      </c>
      <c r="V1637" s="13" t="str">
        <f t="shared" si="155"/>
        <v>funded</v>
      </c>
    </row>
    <row r="1638" spans="1:22" ht="48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8322</v>
      </c>
      <c r="R1638" t="s">
        <v>8323</v>
      </c>
      <c r="S1638" s="14">
        <f t="shared" si="152"/>
        <v>40663.08666666667</v>
      </c>
      <c r="T1638" s="14">
        <f t="shared" si="153"/>
        <v>40706.166666666664</v>
      </c>
      <c r="U1638" s="64">
        <f t="shared" si="154"/>
        <v>43.07999999999447</v>
      </c>
      <c r="V1638" s="13" t="str">
        <f t="shared" si="155"/>
        <v>funded</v>
      </c>
    </row>
    <row r="1639" spans="1:22" ht="48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8322</v>
      </c>
      <c r="R1639" t="s">
        <v>8323</v>
      </c>
      <c r="S1639" s="14">
        <f t="shared" si="152"/>
        <v>40122.751620370371</v>
      </c>
      <c r="T1639" s="14">
        <f t="shared" si="153"/>
        <v>40178.98541666667</v>
      </c>
      <c r="U1639" s="64">
        <f t="shared" si="154"/>
        <v>56.233796296299261</v>
      </c>
      <c r="V1639" s="13" t="str">
        <f t="shared" si="155"/>
        <v>funded</v>
      </c>
    </row>
    <row r="1640" spans="1:22" ht="3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8322</v>
      </c>
      <c r="R1640" t="s">
        <v>8323</v>
      </c>
      <c r="S1640" s="14">
        <f t="shared" si="152"/>
        <v>41288.68712962963</v>
      </c>
      <c r="T1640" s="14">
        <f t="shared" si="153"/>
        <v>41333.892361111109</v>
      </c>
      <c r="U1640" s="64">
        <f t="shared" si="154"/>
        <v>45.205231481479132</v>
      </c>
      <c r="V1640" s="13" t="str">
        <f t="shared" si="155"/>
        <v>funded</v>
      </c>
    </row>
    <row r="1641" spans="1:22" ht="48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8322</v>
      </c>
      <c r="R1641" t="s">
        <v>8323</v>
      </c>
      <c r="S1641" s="14">
        <f t="shared" si="152"/>
        <v>40941.652372685188</v>
      </c>
      <c r="T1641" s="14">
        <f t="shared" si="153"/>
        <v>40971.652372685188</v>
      </c>
      <c r="U1641" s="64">
        <f t="shared" si="154"/>
        <v>30</v>
      </c>
      <c r="V1641" s="13" t="str">
        <f t="shared" si="155"/>
        <v>funded</v>
      </c>
    </row>
    <row r="1642" spans="1:22" ht="48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8322</v>
      </c>
      <c r="R1642" t="s">
        <v>8323</v>
      </c>
      <c r="S1642" s="14">
        <f t="shared" si="152"/>
        <v>40379.23096064815</v>
      </c>
      <c r="T1642" s="14">
        <f t="shared" si="153"/>
        <v>40393.082638888889</v>
      </c>
      <c r="U1642" s="64">
        <f t="shared" si="154"/>
        <v>13.851678240738693</v>
      </c>
      <c r="V1642" s="13" t="str">
        <f t="shared" si="155"/>
        <v>funded</v>
      </c>
    </row>
    <row r="1643" spans="1:22" ht="3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8322</v>
      </c>
      <c r="R1643" t="s">
        <v>8343</v>
      </c>
      <c r="S1643" s="14">
        <f t="shared" si="152"/>
        <v>41962.596574074079</v>
      </c>
      <c r="T1643" s="14">
        <f t="shared" si="153"/>
        <v>41992.596574074079</v>
      </c>
      <c r="U1643" s="64">
        <f t="shared" si="154"/>
        <v>30</v>
      </c>
      <c r="V1643" s="13" t="str">
        <f t="shared" si="155"/>
        <v>funded</v>
      </c>
    </row>
    <row r="1644" spans="1:22" ht="48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8322</v>
      </c>
      <c r="R1644" t="s">
        <v>8343</v>
      </c>
      <c r="S1644" s="14">
        <f t="shared" si="152"/>
        <v>40688.024618055555</v>
      </c>
      <c r="T1644" s="14">
        <f t="shared" si="153"/>
        <v>40708.024618055555</v>
      </c>
      <c r="U1644" s="64">
        <f t="shared" si="154"/>
        <v>20</v>
      </c>
      <c r="V1644" s="13" t="str">
        <f t="shared" si="155"/>
        <v>funded</v>
      </c>
    </row>
    <row r="1645" spans="1:22" ht="3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8322</v>
      </c>
      <c r="R1645" t="s">
        <v>8343</v>
      </c>
      <c r="S1645" s="14">
        <f t="shared" si="152"/>
        <v>41146.824212962965</v>
      </c>
      <c r="T1645" s="14">
        <f t="shared" si="153"/>
        <v>41176.824212962965</v>
      </c>
      <c r="U1645" s="64">
        <f t="shared" si="154"/>
        <v>30</v>
      </c>
      <c r="V1645" s="13" t="str">
        <f t="shared" si="155"/>
        <v>funded</v>
      </c>
    </row>
    <row r="1646" spans="1:22" ht="48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8322</v>
      </c>
      <c r="R1646" t="s">
        <v>8343</v>
      </c>
      <c r="S1646" s="14">
        <f t="shared" si="152"/>
        <v>41175.05972222222</v>
      </c>
      <c r="T1646" s="14">
        <f t="shared" si="153"/>
        <v>41235.101388888892</v>
      </c>
      <c r="U1646" s="64">
        <f t="shared" si="154"/>
        <v>60.041666666671517</v>
      </c>
      <c r="V1646" s="13" t="str">
        <f t="shared" si="155"/>
        <v>funded</v>
      </c>
    </row>
    <row r="1647" spans="1:22" ht="48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8322</v>
      </c>
      <c r="R1647" t="s">
        <v>8343</v>
      </c>
      <c r="S1647" s="14">
        <f t="shared" si="152"/>
        <v>41521.617361111108</v>
      </c>
      <c r="T1647" s="14">
        <f t="shared" si="153"/>
        <v>41535.617361111108</v>
      </c>
      <c r="U1647" s="64">
        <f t="shared" si="154"/>
        <v>14</v>
      </c>
      <c r="V1647" s="13" t="str">
        <f t="shared" si="155"/>
        <v>funded</v>
      </c>
    </row>
    <row r="1648" spans="1:22" ht="48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8322</v>
      </c>
      <c r="R1648" t="s">
        <v>8343</v>
      </c>
      <c r="S1648" s="14">
        <f t="shared" si="152"/>
        <v>41833.450266203705</v>
      </c>
      <c r="T1648" s="14">
        <f t="shared" si="153"/>
        <v>41865.757638888892</v>
      </c>
      <c r="U1648" s="64">
        <f t="shared" si="154"/>
        <v>32.307372685187147</v>
      </c>
      <c r="V1648" s="13" t="str">
        <f t="shared" si="155"/>
        <v>funded</v>
      </c>
    </row>
    <row r="1649" spans="1:22" ht="48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8322</v>
      </c>
      <c r="R1649" t="s">
        <v>8343</v>
      </c>
      <c r="S1649" s="14">
        <f t="shared" si="152"/>
        <v>41039.409456018519</v>
      </c>
      <c r="T1649" s="14">
        <f t="shared" si="153"/>
        <v>41069.409456018519</v>
      </c>
      <c r="U1649" s="64">
        <f t="shared" si="154"/>
        <v>30</v>
      </c>
      <c r="V1649" s="13" t="str">
        <f t="shared" si="155"/>
        <v>funded</v>
      </c>
    </row>
    <row r="1650" spans="1:22" ht="48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8322</v>
      </c>
      <c r="R1650" t="s">
        <v>8343</v>
      </c>
      <c r="S1650" s="14">
        <f t="shared" si="152"/>
        <v>40592.704652777778</v>
      </c>
      <c r="T1650" s="14">
        <f t="shared" si="153"/>
        <v>40622.662986111114</v>
      </c>
      <c r="U1650" s="64">
        <f t="shared" si="154"/>
        <v>29.958333333335759</v>
      </c>
      <c r="V1650" s="13" t="str">
        <f t="shared" si="155"/>
        <v>funded</v>
      </c>
    </row>
    <row r="1651" spans="1:22" ht="48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8322</v>
      </c>
      <c r="R1651" t="s">
        <v>8343</v>
      </c>
      <c r="S1651" s="14">
        <f t="shared" si="152"/>
        <v>41737.684664351851</v>
      </c>
      <c r="T1651" s="14">
        <f t="shared" si="153"/>
        <v>41782.684664351851</v>
      </c>
      <c r="U1651" s="64">
        <f t="shared" si="154"/>
        <v>45</v>
      </c>
      <c r="V1651" s="13" t="str">
        <f t="shared" si="155"/>
        <v>funded</v>
      </c>
    </row>
    <row r="1652" spans="1:22" ht="3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8322</v>
      </c>
      <c r="R1652" t="s">
        <v>8343</v>
      </c>
      <c r="S1652" s="14">
        <f t="shared" si="152"/>
        <v>41526.435613425929</v>
      </c>
      <c r="T1652" s="14">
        <f t="shared" si="153"/>
        <v>41556.435613425929</v>
      </c>
      <c r="U1652" s="64">
        <f t="shared" si="154"/>
        <v>30</v>
      </c>
      <c r="V1652" s="13" t="str">
        <f t="shared" si="155"/>
        <v>funded</v>
      </c>
    </row>
    <row r="1653" spans="1:22" ht="48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8322</v>
      </c>
      <c r="R1653" t="s">
        <v>8343</v>
      </c>
      <c r="S1653" s="14">
        <f t="shared" si="152"/>
        <v>40625.900694444441</v>
      </c>
      <c r="T1653" s="14">
        <f t="shared" si="153"/>
        <v>40659.290972222225</v>
      </c>
      <c r="U1653" s="64">
        <f t="shared" si="154"/>
        <v>33.390277777783922</v>
      </c>
      <c r="V1653" s="13" t="str">
        <f t="shared" si="155"/>
        <v>funded</v>
      </c>
    </row>
    <row r="1654" spans="1:22" ht="48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8322</v>
      </c>
      <c r="R1654" t="s">
        <v>8343</v>
      </c>
      <c r="S1654" s="14">
        <f t="shared" si="152"/>
        <v>41572.492974537039</v>
      </c>
      <c r="T1654" s="14">
        <f t="shared" si="153"/>
        <v>41602.534641203703</v>
      </c>
      <c r="U1654" s="64">
        <f t="shared" si="154"/>
        <v>30.041666666664241</v>
      </c>
      <c r="V1654" s="13" t="str">
        <f t="shared" si="155"/>
        <v>funded</v>
      </c>
    </row>
    <row r="1655" spans="1:22" ht="48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8322</v>
      </c>
      <c r="R1655" t="s">
        <v>8343</v>
      </c>
      <c r="S1655" s="14">
        <f t="shared" si="152"/>
        <v>40626.834444444445</v>
      </c>
      <c r="T1655" s="14">
        <f t="shared" si="153"/>
        <v>40657.834444444445</v>
      </c>
      <c r="U1655" s="64">
        <f t="shared" si="154"/>
        <v>31</v>
      </c>
      <c r="V1655" s="13" t="str">
        <f t="shared" si="155"/>
        <v>funded</v>
      </c>
    </row>
    <row r="1656" spans="1:22" ht="48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8322</v>
      </c>
      <c r="R1656" t="s">
        <v>8343</v>
      </c>
      <c r="S1656" s="14">
        <f t="shared" si="152"/>
        <v>40987.890740740739</v>
      </c>
      <c r="T1656" s="14">
        <f t="shared" si="153"/>
        <v>41017.890740740739</v>
      </c>
      <c r="U1656" s="64">
        <f t="shared" si="154"/>
        <v>30</v>
      </c>
      <c r="V1656" s="13" t="str">
        <f t="shared" si="155"/>
        <v>funded</v>
      </c>
    </row>
    <row r="1657" spans="1:22" ht="3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8322</v>
      </c>
      <c r="R1657" t="s">
        <v>8343</v>
      </c>
      <c r="S1657" s="14">
        <f t="shared" si="152"/>
        <v>40974.791898148149</v>
      </c>
      <c r="T1657" s="14">
        <f t="shared" si="153"/>
        <v>41004.750231481477</v>
      </c>
      <c r="U1657" s="64">
        <f t="shared" si="154"/>
        <v>29.958333333328483</v>
      </c>
      <c r="V1657" s="13" t="str">
        <f t="shared" si="155"/>
        <v>funded</v>
      </c>
    </row>
    <row r="1658" spans="1:22" ht="6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8322</v>
      </c>
      <c r="R1658" t="s">
        <v>8343</v>
      </c>
      <c r="S1658" s="14">
        <f t="shared" si="152"/>
        <v>41226.928842592592</v>
      </c>
      <c r="T1658" s="14">
        <f t="shared" si="153"/>
        <v>41256.928842592592</v>
      </c>
      <c r="U1658" s="64">
        <f t="shared" si="154"/>
        <v>30</v>
      </c>
      <c r="V1658" s="13" t="str">
        <f t="shared" si="155"/>
        <v>funded</v>
      </c>
    </row>
    <row r="1659" spans="1:22" ht="48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8322</v>
      </c>
      <c r="R1659" t="s">
        <v>8343</v>
      </c>
      <c r="S1659" s="14">
        <f t="shared" si="152"/>
        <v>41023.782037037039</v>
      </c>
      <c r="T1659" s="14">
        <f t="shared" si="153"/>
        <v>41053.782037037039</v>
      </c>
      <c r="U1659" s="64">
        <f t="shared" si="154"/>
        <v>30</v>
      </c>
      <c r="V1659" s="13" t="str">
        <f t="shared" si="155"/>
        <v>funded</v>
      </c>
    </row>
    <row r="1660" spans="1:22" ht="48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8322</v>
      </c>
      <c r="R1660" t="s">
        <v>8343</v>
      </c>
      <c r="S1660" s="14">
        <f t="shared" si="152"/>
        <v>41223.22184027778</v>
      </c>
      <c r="T1660" s="14">
        <f t="shared" si="153"/>
        <v>41261.597222222219</v>
      </c>
      <c r="U1660" s="64">
        <f t="shared" si="154"/>
        <v>38.375381944439141</v>
      </c>
      <c r="V1660" s="13" t="str">
        <f t="shared" si="155"/>
        <v>funded</v>
      </c>
    </row>
    <row r="1661" spans="1:22" ht="48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8322</v>
      </c>
      <c r="R1661" t="s">
        <v>8343</v>
      </c>
      <c r="S1661" s="14">
        <f t="shared" si="152"/>
        <v>41596.913437499999</v>
      </c>
      <c r="T1661" s="14">
        <f t="shared" si="153"/>
        <v>41625.5</v>
      </c>
      <c r="U1661" s="64">
        <f t="shared" si="154"/>
        <v>28.586562500000582</v>
      </c>
      <c r="V1661" s="13" t="str">
        <f t="shared" si="155"/>
        <v>funded</v>
      </c>
    </row>
    <row r="1662" spans="1:22" ht="48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8322</v>
      </c>
      <c r="R1662" t="s">
        <v>8343</v>
      </c>
      <c r="S1662" s="14">
        <f t="shared" si="152"/>
        <v>42459.693865740745</v>
      </c>
      <c r="T1662" s="14">
        <f t="shared" si="153"/>
        <v>42490.915972222225</v>
      </c>
      <c r="U1662" s="64">
        <f t="shared" si="154"/>
        <v>31.222106481480296</v>
      </c>
      <c r="V1662" s="13" t="str">
        <f t="shared" si="155"/>
        <v>funded</v>
      </c>
    </row>
    <row r="1663" spans="1:22" ht="6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8322</v>
      </c>
      <c r="R1663" t="s">
        <v>8343</v>
      </c>
      <c r="S1663" s="14">
        <f t="shared" si="152"/>
        <v>42343.998043981483</v>
      </c>
      <c r="T1663" s="14">
        <f t="shared" si="153"/>
        <v>42386.875</v>
      </c>
      <c r="U1663" s="64">
        <f t="shared" si="154"/>
        <v>42.876956018517376</v>
      </c>
      <c r="V1663" s="13" t="str">
        <f t="shared" si="155"/>
        <v>funded</v>
      </c>
    </row>
    <row r="1664" spans="1:22" ht="48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8322</v>
      </c>
      <c r="R1664" t="s">
        <v>8343</v>
      </c>
      <c r="S1664" s="14">
        <f t="shared" si="152"/>
        <v>40848.198333333334</v>
      </c>
      <c r="T1664" s="14">
        <f t="shared" si="153"/>
        <v>40908.239999999998</v>
      </c>
      <c r="U1664" s="64">
        <f t="shared" si="154"/>
        <v>60.041666666664241</v>
      </c>
      <c r="V1664" s="13" t="str">
        <f t="shared" si="155"/>
        <v>funded</v>
      </c>
    </row>
    <row r="1665" spans="1:22" ht="3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8322</v>
      </c>
      <c r="R1665" t="s">
        <v>8343</v>
      </c>
      <c r="S1665" s="14">
        <f t="shared" si="152"/>
        <v>42006.02207175926</v>
      </c>
      <c r="T1665" s="14">
        <f t="shared" si="153"/>
        <v>42036.02207175926</v>
      </c>
      <c r="U1665" s="64">
        <f t="shared" si="154"/>
        <v>30</v>
      </c>
      <c r="V1665" s="13" t="str">
        <f t="shared" si="155"/>
        <v>funded</v>
      </c>
    </row>
    <row r="1666" spans="1:22" ht="48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>
        <f t="shared" si="151"/>
        <v>34.380000000000003</v>
      </c>
      <c r="Q1666" s="10" t="s">
        <v>8322</v>
      </c>
      <c r="R1666" t="s">
        <v>8343</v>
      </c>
      <c r="S1666" s="14">
        <f t="shared" si="152"/>
        <v>40939.761782407404</v>
      </c>
      <c r="T1666" s="14">
        <f t="shared" si="153"/>
        <v>40984.165972222225</v>
      </c>
      <c r="U1666" s="64">
        <f t="shared" si="154"/>
        <v>44.404189814820711</v>
      </c>
      <c r="V1666" s="13" t="str">
        <f t="shared" si="155"/>
        <v>funded</v>
      </c>
    </row>
    <row r="1667" spans="1:22" ht="48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ROUND(E1667/D1667*100,0)</f>
        <v>119</v>
      </c>
      <c r="P1667">
        <f t="shared" ref="P1667:P1730" si="157">IFERROR(ROUND(E1667/L1667,2), 0)</f>
        <v>44.96</v>
      </c>
      <c r="Q1667" s="10" t="s">
        <v>8322</v>
      </c>
      <c r="R1667" t="s">
        <v>8343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 s="64">
        <f t="shared" ref="U1667:V1730" si="160">T1667-S1667</f>
        <v>31.475543981483497</v>
      </c>
      <c r="V1667" s="13" t="str">
        <f t="shared" ref="V1667:V1730" si="161">IF(E1667&gt;=D1667, "funded", "underfunded")</f>
        <v>funded</v>
      </c>
    </row>
    <row r="1668" spans="1:22" ht="48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8322</v>
      </c>
      <c r="R1668" t="s">
        <v>8343</v>
      </c>
      <c r="S1668" s="14">
        <f t="shared" si="158"/>
        <v>41331.253159722226</v>
      </c>
      <c r="T1668" s="14">
        <f t="shared" si="159"/>
        <v>41361.211493055554</v>
      </c>
      <c r="U1668" s="64">
        <f t="shared" si="160"/>
        <v>29.958333333328483</v>
      </c>
      <c r="V1668" s="13" t="str">
        <f t="shared" si="161"/>
        <v>funded</v>
      </c>
    </row>
    <row r="1669" spans="1:22" ht="48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8322</v>
      </c>
      <c r="R1669" t="s">
        <v>8343</v>
      </c>
      <c r="S1669" s="14">
        <f t="shared" si="158"/>
        <v>41682.0705787037</v>
      </c>
      <c r="T1669" s="14">
        <f t="shared" si="159"/>
        <v>41709.290972222225</v>
      </c>
      <c r="U1669" s="64">
        <f t="shared" si="160"/>
        <v>27.220393518524361</v>
      </c>
      <c r="V1669" s="13" t="str">
        <f t="shared" si="161"/>
        <v>funded</v>
      </c>
    </row>
    <row r="1670" spans="1:22" ht="48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8322</v>
      </c>
      <c r="R1670" t="s">
        <v>8343</v>
      </c>
      <c r="S1670" s="14">
        <f t="shared" si="158"/>
        <v>40845.14975694444</v>
      </c>
      <c r="T1670" s="14">
        <f t="shared" si="159"/>
        <v>40875.191423611112</v>
      </c>
      <c r="U1670" s="64">
        <f t="shared" si="160"/>
        <v>30.041666666671517</v>
      </c>
      <c r="V1670" s="13" t="str">
        <f t="shared" si="161"/>
        <v>funded</v>
      </c>
    </row>
    <row r="1671" spans="1:22" ht="48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8322</v>
      </c>
      <c r="R1671" t="s">
        <v>8343</v>
      </c>
      <c r="S1671" s="14">
        <f t="shared" si="158"/>
        <v>42461.885138888887</v>
      </c>
      <c r="T1671" s="14">
        <f t="shared" si="159"/>
        <v>42521.885138888887</v>
      </c>
      <c r="U1671" s="64">
        <f t="shared" si="160"/>
        <v>60</v>
      </c>
      <c r="V1671" s="13" t="str">
        <f t="shared" si="161"/>
        <v>funded</v>
      </c>
    </row>
    <row r="1672" spans="1:22" ht="6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8322</v>
      </c>
      <c r="R1672" t="s">
        <v>8343</v>
      </c>
      <c r="S1672" s="14">
        <f t="shared" si="158"/>
        <v>40313.930543981485</v>
      </c>
      <c r="T1672" s="14">
        <f t="shared" si="159"/>
        <v>40364.166666666664</v>
      </c>
      <c r="U1672" s="64">
        <f t="shared" si="160"/>
        <v>50.236122685178998</v>
      </c>
      <c r="V1672" s="13" t="str">
        <f t="shared" si="161"/>
        <v>funded</v>
      </c>
    </row>
    <row r="1673" spans="1:22" ht="3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8322</v>
      </c>
      <c r="R1673" t="s">
        <v>8343</v>
      </c>
      <c r="S1673" s="14">
        <f t="shared" si="158"/>
        <v>42553.54414351852</v>
      </c>
      <c r="T1673" s="14">
        <f t="shared" si="159"/>
        <v>42583.54414351852</v>
      </c>
      <c r="U1673" s="64">
        <f t="shared" si="160"/>
        <v>30</v>
      </c>
      <c r="V1673" s="13" t="str">
        <f t="shared" si="161"/>
        <v>funded</v>
      </c>
    </row>
    <row r="1674" spans="1:22" ht="3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8322</v>
      </c>
      <c r="R1674" t="s">
        <v>8343</v>
      </c>
      <c r="S1674" s="14">
        <f t="shared" si="158"/>
        <v>41034.656597222223</v>
      </c>
      <c r="T1674" s="14">
        <f t="shared" si="159"/>
        <v>41064.656597222223</v>
      </c>
      <c r="U1674" s="64">
        <f t="shared" si="160"/>
        <v>30</v>
      </c>
      <c r="V1674" s="13" t="str">
        <f t="shared" si="161"/>
        <v>funded</v>
      </c>
    </row>
    <row r="1675" spans="1:22" ht="48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8322</v>
      </c>
      <c r="R1675" t="s">
        <v>8343</v>
      </c>
      <c r="S1675" s="14">
        <f t="shared" si="158"/>
        <v>42039.878379629634</v>
      </c>
      <c r="T1675" s="14">
        <f t="shared" si="159"/>
        <v>42069.878379629634</v>
      </c>
      <c r="U1675" s="64">
        <f t="shared" si="160"/>
        <v>30</v>
      </c>
      <c r="V1675" s="13" t="str">
        <f t="shared" si="161"/>
        <v>funded</v>
      </c>
    </row>
    <row r="1676" spans="1:22" ht="48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8322</v>
      </c>
      <c r="R1676" t="s">
        <v>8343</v>
      </c>
      <c r="S1676" s="14">
        <f t="shared" si="158"/>
        <v>42569.605393518519</v>
      </c>
      <c r="T1676" s="14">
        <f t="shared" si="159"/>
        <v>42600.290972222225</v>
      </c>
      <c r="U1676" s="64">
        <f t="shared" si="160"/>
        <v>30.685578703705687</v>
      </c>
      <c r="V1676" s="13" t="str">
        <f t="shared" si="161"/>
        <v>funded</v>
      </c>
    </row>
    <row r="1677" spans="1:22" ht="3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8322</v>
      </c>
      <c r="R1677" t="s">
        <v>8343</v>
      </c>
      <c r="S1677" s="14">
        <f t="shared" si="158"/>
        <v>40802.733101851853</v>
      </c>
      <c r="T1677" s="14">
        <f t="shared" si="159"/>
        <v>40832.918749999997</v>
      </c>
      <c r="U1677" s="64">
        <f t="shared" si="160"/>
        <v>30.185648148144537</v>
      </c>
      <c r="V1677" s="13" t="str">
        <f t="shared" si="161"/>
        <v>funded</v>
      </c>
    </row>
    <row r="1678" spans="1:22" ht="3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8322</v>
      </c>
      <c r="R1678" t="s">
        <v>8343</v>
      </c>
      <c r="S1678" s="14">
        <f t="shared" si="158"/>
        <v>40973.72623842593</v>
      </c>
      <c r="T1678" s="14">
        <f t="shared" si="159"/>
        <v>41020.165972222225</v>
      </c>
      <c r="U1678" s="64">
        <f t="shared" si="160"/>
        <v>46.439733796294604</v>
      </c>
      <c r="V1678" s="13" t="str">
        <f t="shared" si="161"/>
        <v>funded</v>
      </c>
    </row>
    <row r="1679" spans="1:22" ht="48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8322</v>
      </c>
      <c r="R1679" t="s">
        <v>8343</v>
      </c>
      <c r="S1679" s="14">
        <f t="shared" si="158"/>
        <v>42416.407129629632</v>
      </c>
      <c r="T1679" s="14">
        <f t="shared" si="159"/>
        <v>42476.249305555553</v>
      </c>
      <c r="U1679" s="64">
        <f t="shared" si="160"/>
        <v>59.842175925921765</v>
      </c>
      <c r="V1679" s="13" t="str">
        <f t="shared" si="161"/>
        <v>funded</v>
      </c>
    </row>
    <row r="1680" spans="1:22" ht="3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8322</v>
      </c>
      <c r="R1680" t="s">
        <v>8343</v>
      </c>
      <c r="S1680" s="14">
        <f t="shared" si="158"/>
        <v>41662.854988425926</v>
      </c>
      <c r="T1680" s="14">
        <f t="shared" si="159"/>
        <v>41676.854988425926</v>
      </c>
      <c r="U1680" s="64">
        <f t="shared" si="160"/>
        <v>14</v>
      </c>
      <c r="V1680" s="13" t="str">
        <f t="shared" si="161"/>
        <v>funded</v>
      </c>
    </row>
    <row r="1681" spans="1:22" ht="6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8322</v>
      </c>
      <c r="R1681" t="s">
        <v>8343</v>
      </c>
      <c r="S1681" s="14">
        <f t="shared" si="158"/>
        <v>40723.068807870368</v>
      </c>
      <c r="T1681" s="14">
        <f t="shared" si="159"/>
        <v>40746.068807870368</v>
      </c>
      <c r="U1681" s="64">
        <f t="shared" si="160"/>
        <v>23</v>
      </c>
      <c r="V1681" s="13" t="str">
        <f t="shared" si="161"/>
        <v>funded</v>
      </c>
    </row>
    <row r="1682" spans="1:22" ht="3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8322</v>
      </c>
      <c r="R1682" t="s">
        <v>8343</v>
      </c>
      <c r="S1682" s="14">
        <f t="shared" si="158"/>
        <v>41802.757719907408</v>
      </c>
      <c r="T1682" s="14">
        <f t="shared" si="159"/>
        <v>41832.757719907408</v>
      </c>
      <c r="U1682" s="64">
        <f t="shared" si="160"/>
        <v>30</v>
      </c>
      <c r="V1682" s="13" t="str">
        <f t="shared" si="161"/>
        <v>funded</v>
      </c>
    </row>
    <row r="1683" spans="1:22" ht="48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8322</v>
      </c>
      <c r="R1683" t="s">
        <v>8344</v>
      </c>
      <c r="S1683" s="14">
        <f t="shared" si="158"/>
        <v>42774.121342592596</v>
      </c>
      <c r="T1683" s="14">
        <f t="shared" si="159"/>
        <v>42823.083333333328</v>
      </c>
      <c r="U1683" s="64">
        <f t="shared" si="160"/>
        <v>48.96199074073229</v>
      </c>
      <c r="V1683" s="13" t="str">
        <f t="shared" si="161"/>
        <v>funded</v>
      </c>
    </row>
    <row r="1684" spans="1:22" ht="3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0" t="s">
        <v>8322</v>
      </c>
      <c r="R1684" t="s">
        <v>8344</v>
      </c>
      <c r="S1684" s="14">
        <f t="shared" si="158"/>
        <v>42779.21365740741</v>
      </c>
      <c r="T1684" s="14">
        <f t="shared" si="159"/>
        <v>42839.171990740739</v>
      </c>
      <c r="U1684" s="64">
        <f t="shared" si="160"/>
        <v>59.958333333328483</v>
      </c>
      <c r="V1684" s="13" t="str">
        <f t="shared" si="161"/>
        <v>underfunded</v>
      </c>
    </row>
    <row r="1685" spans="1:22" ht="48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8322</v>
      </c>
      <c r="R1685" t="s">
        <v>8344</v>
      </c>
      <c r="S1685" s="14">
        <f t="shared" si="158"/>
        <v>42808.781689814816</v>
      </c>
      <c r="T1685" s="14">
        <f t="shared" si="159"/>
        <v>42832.781689814816</v>
      </c>
      <c r="U1685" s="64">
        <f t="shared" si="160"/>
        <v>24</v>
      </c>
      <c r="V1685" s="13" t="str">
        <f t="shared" si="161"/>
        <v>underfunded</v>
      </c>
    </row>
    <row r="1686" spans="1:22" ht="3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8322</v>
      </c>
      <c r="R1686" t="s">
        <v>8344</v>
      </c>
      <c r="S1686" s="14">
        <f t="shared" si="158"/>
        <v>42783.815289351856</v>
      </c>
      <c r="T1686" s="14">
        <f t="shared" si="159"/>
        <v>42811.773622685185</v>
      </c>
      <c r="U1686" s="64">
        <f t="shared" si="160"/>
        <v>27.958333333328483</v>
      </c>
      <c r="V1686" s="13" t="str">
        <f t="shared" si="161"/>
        <v>funded</v>
      </c>
    </row>
    <row r="1687" spans="1:22" ht="48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8322</v>
      </c>
      <c r="R1687" t="s">
        <v>8344</v>
      </c>
      <c r="S1687" s="14">
        <f t="shared" si="158"/>
        <v>42788.2502662037</v>
      </c>
      <c r="T1687" s="14">
        <f t="shared" si="159"/>
        <v>42818.208599537036</v>
      </c>
      <c r="U1687" s="64">
        <f t="shared" si="160"/>
        <v>29.958333333335759</v>
      </c>
      <c r="V1687" s="13" t="str">
        <f t="shared" si="161"/>
        <v>funded</v>
      </c>
    </row>
    <row r="1688" spans="1:22" ht="48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0" t="s">
        <v>8322</v>
      </c>
      <c r="R1688" t="s">
        <v>8344</v>
      </c>
      <c r="S1688" s="14">
        <f t="shared" si="158"/>
        <v>42792.843969907408</v>
      </c>
      <c r="T1688" s="14">
        <f t="shared" si="159"/>
        <v>42852.802303240736</v>
      </c>
      <c r="U1688" s="64">
        <f t="shared" si="160"/>
        <v>59.958333333328483</v>
      </c>
      <c r="V1688" s="13" t="str">
        <f t="shared" si="161"/>
        <v>underfunded</v>
      </c>
    </row>
    <row r="1689" spans="1:22" ht="48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8322</v>
      </c>
      <c r="R1689" t="s">
        <v>8344</v>
      </c>
      <c r="S1689" s="14">
        <f t="shared" si="158"/>
        <v>42802.046817129631</v>
      </c>
      <c r="T1689" s="14">
        <f t="shared" si="159"/>
        <v>42835.84375</v>
      </c>
      <c r="U1689" s="64">
        <f t="shared" si="160"/>
        <v>33.796932870369346</v>
      </c>
      <c r="V1689" s="13" t="str">
        <f t="shared" si="161"/>
        <v>underfunded</v>
      </c>
    </row>
    <row r="1690" spans="1:22" ht="6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8322</v>
      </c>
      <c r="R1690" t="s">
        <v>8344</v>
      </c>
      <c r="S1690" s="14">
        <f t="shared" si="158"/>
        <v>42804.534652777773</v>
      </c>
      <c r="T1690" s="14">
        <f t="shared" si="159"/>
        <v>42834.492986111116</v>
      </c>
      <c r="U1690" s="64">
        <f t="shared" si="160"/>
        <v>29.958333333343035</v>
      </c>
      <c r="V1690" s="13" t="str">
        <f t="shared" si="161"/>
        <v>underfunded</v>
      </c>
    </row>
    <row r="1691" spans="1:22" ht="16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8322</v>
      </c>
      <c r="R1691" t="s">
        <v>8344</v>
      </c>
      <c r="S1691" s="14">
        <f t="shared" si="158"/>
        <v>42780.942476851851</v>
      </c>
      <c r="T1691" s="14">
        <f t="shared" si="159"/>
        <v>42810.900810185187</v>
      </c>
      <c r="U1691" s="64">
        <f t="shared" si="160"/>
        <v>29.958333333335759</v>
      </c>
      <c r="V1691" s="13" t="str">
        <f t="shared" si="161"/>
        <v>funded</v>
      </c>
    </row>
    <row r="1692" spans="1:22" ht="48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8322</v>
      </c>
      <c r="R1692" t="s">
        <v>8344</v>
      </c>
      <c r="S1692" s="14">
        <f t="shared" si="158"/>
        <v>42801.43104166667</v>
      </c>
      <c r="T1692" s="14">
        <f t="shared" si="159"/>
        <v>42831.389374999999</v>
      </c>
      <c r="U1692" s="64">
        <f t="shared" si="160"/>
        <v>29.958333333328483</v>
      </c>
      <c r="V1692" s="13" t="str">
        <f t="shared" si="161"/>
        <v>underfunded</v>
      </c>
    </row>
    <row r="1693" spans="1:22" ht="48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8322</v>
      </c>
      <c r="R1693" t="s">
        <v>8344</v>
      </c>
      <c r="S1693" s="14">
        <f t="shared" si="158"/>
        <v>42795.701481481476</v>
      </c>
      <c r="T1693" s="14">
        <f t="shared" si="159"/>
        <v>42828.041666666672</v>
      </c>
      <c r="U1693" s="64">
        <f t="shared" si="160"/>
        <v>32.340185185195878</v>
      </c>
      <c r="V1693" s="13" t="str">
        <f t="shared" si="161"/>
        <v>underfunded</v>
      </c>
    </row>
    <row r="1694" spans="1:22" ht="48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8322</v>
      </c>
      <c r="R1694" t="s">
        <v>8344</v>
      </c>
      <c r="S1694" s="14">
        <f t="shared" si="158"/>
        <v>42788.151238425926</v>
      </c>
      <c r="T1694" s="14">
        <f t="shared" si="159"/>
        <v>42820.999305555553</v>
      </c>
      <c r="U1694" s="64">
        <f t="shared" si="160"/>
        <v>32.848067129627452</v>
      </c>
      <c r="V1694" s="13" t="str">
        <f t="shared" si="161"/>
        <v>underfunded</v>
      </c>
    </row>
    <row r="1695" spans="1:22" ht="48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8322</v>
      </c>
      <c r="R1695" t="s">
        <v>8344</v>
      </c>
      <c r="S1695" s="14">
        <f t="shared" si="158"/>
        <v>42803.920277777783</v>
      </c>
      <c r="T1695" s="14">
        <f t="shared" si="159"/>
        <v>42834.833333333328</v>
      </c>
      <c r="U1695" s="64">
        <f t="shared" si="160"/>
        <v>30.913055555545725</v>
      </c>
      <c r="V1695" s="13" t="str">
        <f t="shared" si="161"/>
        <v>underfunded</v>
      </c>
    </row>
    <row r="1696" spans="1:22" ht="48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0" t="s">
        <v>8322</v>
      </c>
      <c r="R1696" t="s">
        <v>8344</v>
      </c>
      <c r="S1696" s="14">
        <f t="shared" si="158"/>
        <v>42791.669837962967</v>
      </c>
      <c r="T1696" s="14">
        <f t="shared" si="159"/>
        <v>42821.191666666666</v>
      </c>
      <c r="U1696" s="64">
        <f t="shared" si="160"/>
        <v>29.521828703698702</v>
      </c>
      <c r="V1696" s="13" t="str">
        <f t="shared" si="161"/>
        <v>underfunded</v>
      </c>
    </row>
    <row r="1697" spans="1:22" ht="48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8322</v>
      </c>
      <c r="R1697" t="s">
        <v>8344</v>
      </c>
      <c r="S1697" s="14">
        <f t="shared" si="158"/>
        <v>42801.031412037039</v>
      </c>
      <c r="T1697" s="14">
        <f t="shared" si="159"/>
        <v>42835.041666666672</v>
      </c>
      <c r="U1697" s="64">
        <f t="shared" si="160"/>
        <v>34.010254629632982</v>
      </c>
      <c r="V1697" s="13" t="str">
        <f t="shared" si="161"/>
        <v>underfunded</v>
      </c>
    </row>
    <row r="1698" spans="1:22" ht="48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0" t="s">
        <v>8322</v>
      </c>
      <c r="R1698" t="s">
        <v>8344</v>
      </c>
      <c r="S1698" s="14">
        <f t="shared" si="158"/>
        <v>42796.069571759261</v>
      </c>
      <c r="T1698" s="14">
        <f t="shared" si="159"/>
        <v>42826.027905092589</v>
      </c>
      <c r="U1698" s="64">
        <f t="shared" si="160"/>
        <v>29.958333333328483</v>
      </c>
      <c r="V1698" s="13" t="str">
        <f t="shared" si="161"/>
        <v>underfunded</v>
      </c>
    </row>
    <row r="1699" spans="1:22" ht="48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8322</v>
      </c>
      <c r="R1699" t="s">
        <v>8344</v>
      </c>
      <c r="S1699" s="14">
        <f t="shared" si="158"/>
        <v>42805.032962962956</v>
      </c>
      <c r="T1699" s="14">
        <f t="shared" si="159"/>
        <v>42834.991296296299</v>
      </c>
      <c r="U1699" s="64">
        <f t="shared" si="160"/>
        <v>29.958333333343035</v>
      </c>
      <c r="V1699" s="13" t="str">
        <f t="shared" si="161"/>
        <v>underfunded</v>
      </c>
    </row>
    <row r="1700" spans="1:22" ht="80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0" t="s">
        <v>8322</v>
      </c>
      <c r="R1700" t="s">
        <v>8344</v>
      </c>
      <c r="S1700" s="14">
        <f t="shared" si="158"/>
        <v>42796.207870370374</v>
      </c>
      <c r="T1700" s="14">
        <f t="shared" si="159"/>
        <v>42820.147916666669</v>
      </c>
      <c r="U1700" s="64">
        <f t="shared" si="160"/>
        <v>23.940046296294895</v>
      </c>
      <c r="V1700" s="13" t="str">
        <f t="shared" si="161"/>
        <v>underfunded</v>
      </c>
    </row>
    <row r="1701" spans="1:22" ht="48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8322</v>
      </c>
      <c r="R1701" t="s">
        <v>8344</v>
      </c>
      <c r="S1701" s="14">
        <f t="shared" si="158"/>
        <v>42806.863946759258</v>
      </c>
      <c r="T1701" s="14">
        <f t="shared" si="159"/>
        <v>42836.863946759258</v>
      </c>
      <c r="U1701" s="64">
        <f t="shared" si="160"/>
        <v>30</v>
      </c>
      <c r="V1701" s="13" t="str">
        <f t="shared" si="161"/>
        <v>underfunded</v>
      </c>
    </row>
    <row r="1702" spans="1:22" ht="48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8322</v>
      </c>
      <c r="R1702" t="s">
        <v>8344</v>
      </c>
      <c r="S1702" s="14">
        <f t="shared" si="158"/>
        <v>42796.071643518517</v>
      </c>
      <c r="T1702" s="14">
        <f t="shared" si="159"/>
        <v>42826.166666666672</v>
      </c>
      <c r="U1702" s="64">
        <f t="shared" si="160"/>
        <v>30.095023148154723</v>
      </c>
      <c r="V1702" s="13" t="str">
        <f t="shared" si="161"/>
        <v>underfunded</v>
      </c>
    </row>
    <row r="1703" spans="1:22" ht="48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0" t="s">
        <v>8322</v>
      </c>
      <c r="R1703" t="s">
        <v>8344</v>
      </c>
      <c r="S1703" s="14">
        <f t="shared" si="158"/>
        <v>41989.664409722223</v>
      </c>
      <c r="T1703" s="14">
        <f t="shared" si="159"/>
        <v>42019.664409722223</v>
      </c>
      <c r="U1703" s="64">
        <f t="shared" si="160"/>
        <v>30</v>
      </c>
      <c r="V1703" s="13" t="str">
        <f t="shared" si="161"/>
        <v>underfunded</v>
      </c>
    </row>
    <row r="1704" spans="1:22" ht="16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0" t="s">
        <v>8322</v>
      </c>
      <c r="R1704" t="s">
        <v>8344</v>
      </c>
      <c r="S1704" s="14">
        <f t="shared" si="158"/>
        <v>42063.869791666672</v>
      </c>
      <c r="T1704" s="14">
        <f t="shared" si="159"/>
        <v>42093.828125</v>
      </c>
      <c r="U1704" s="64">
        <f t="shared" si="160"/>
        <v>29.958333333328483</v>
      </c>
      <c r="V1704" s="13" t="str">
        <f t="shared" si="161"/>
        <v>underfunded</v>
      </c>
    </row>
    <row r="1705" spans="1:22" ht="48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8322</v>
      </c>
      <c r="R1705" t="s">
        <v>8344</v>
      </c>
      <c r="S1705" s="14">
        <f t="shared" si="158"/>
        <v>42187.281678240746</v>
      </c>
      <c r="T1705" s="14">
        <f t="shared" si="159"/>
        <v>42247.281678240746</v>
      </c>
      <c r="U1705" s="64">
        <f t="shared" si="160"/>
        <v>60</v>
      </c>
      <c r="V1705" s="13" t="str">
        <f t="shared" si="161"/>
        <v>underfunded</v>
      </c>
    </row>
    <row r="1706" spans="1:22" ht="3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8322</v>
      </c>
      <c r="R1706" t="s">
        <v>8344</v>
      </c>
      <c r="S1706" s="14">
        <f t="shared" si="158"/>
        <v>42021.139733796299</v>
      </c>
      <c r="T1706" s="14">
        <f t="shared" si="159"/>
        <v>42051.139733796299</v>
      </c>
      <c r="U1706" s="64">
        <f t="shared" si="160"/>
        <v>30</v>
      </c>
      <c r="V1706" s="13" t="str">
        <f t="shared" si="161"/>
        <v>underfunded</v>
      </c>
    </row>
    <row r="1707" spans="1:22" ht="48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0" t="s">
        <v>8322</v>
      </c>
      <c r="R1707" t="s">
        <v>8344</v>
      </c>
      <c r="S1707" s="14">
        <f t="shared" si="158"/>
        <v>42245.016736111109</v>
      </c>
      <c r="T1707" s="14">
        <f t="shared" si="159"/>
        <v>42256.666666666672</v>
      </c>
      <c r="U1707" s="64">
        <f t="shared" si="160"/>
        <v>11.649930555562605</v>
      </c>
      <c r="V1707" s="13" t="str">
        <f t="shared" si="161"/>
        <v>underfunded</v>
      </c>
    </row>
    <row r="1708" spans="1:22" ht="48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0" t="s">
        <v>8322</v>
      </c>
      <c r="R1708" t="s">
        <v>8344</v>
      </c>
      <c r="S1708" s="14">
        <f t="shared" si="158"/>
        <v>42179.306388888886</v>
      </c>
      <c r="T1708" s="14">
        <f t="shared" si="159"/>
        <v>42239.306388888886</v>
      </c>
      <c r="U1708" s="64">
        <f t="shared" si="160"/>
        <v>60</v>
      </c>
      <c r="V1708" s="13" t="str">
        <f t="shared" si="161"/>
        <v>underfunded</v>
      </c>
    </row>
    <row r="1709" spans="1:22" ht="48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8322</v>
      </c>
      <c r="R1709" t="s">
        <v>8344</v>
      </c>
      <c r="S1709" s="14">
        <f t="shared" si="158"/>
        <v>42427.721006944441</v>
      </c>
      <c r="T1709" s="14">
        <f t="shared" si="159"/>
        <v>42457.679340277777</v>
      </c>
      <c r="U1709" s="64">
        <f t="shared" si="160"/>
        <v>29.958333333335759</v>
      </c>
      <c r="V1709" s="13" t="str">
        <f t="shared" si="161"/>
        <v>underfunded</v>
      </c>
    </row>
    <row r="1710" spans="1:22" ht="48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0" t="s">
        <v>8322</v>
      </c>
      <c r="R1710" t="s">
        <v>8344</v>
      </c>
      <c r="S1710" s="14">
        <f t="shared" si="158"/>
        <v>42451.866967592592</v>
      </c>
      <c r="T1710" s="14">
        <f t="shared" si="159"/>
        <v>42491.866967592592</v>
      </c>
      <c r="U1710" s="64">
        <f t="shared" si="160"/>
        <v>40</v>
      </c>
      <c r="V1710" s="13" t="str">
        <f t="shared" si="161"/>
        <v>underfunded</v>
      </c>
    </row>
    <row r="1711" spans="1:22" ht="48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8322</v>
      </c>
      <c r="R1711" t="s">
        <v>8344</v>
      </c>
      <c r="S1711" s="14">
        <f t="shared" si="158"/>
        <v>41841.56381944444</v>
      </c>
      <c r="T1711" s="14">
        <f t="shared" si="159"/>
        <v>41882.818749999999</v>
      </c>
      <c r="U1711" s="64">
        <f t="shared" si="160"/>
        <v>41.254930555558531</v>
      </c>
      <c r="V1711" s="13" t="str">
        <f t="shared" si="161"/>
        <v>underfunded</v>
      </c>
    </row>
    <row r="1712" spans="1:22" ht="3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8322</v>
      </c>
      <c r="R1712" t="s">
        <v>8344</v>
      </c>
      <c r="S1712" s="14">
        <f t="shared" si="158"/>
        <v>42341.59129629629</v>
      </c>
      <c r="T1712" s="14">
        <f t="shared" si="159"/>
        <v>42387.541666666672</v>
      </c>
      <c r="U1712" s="64">
        <f t="shared" si="160"/>
        <v>45.950370370381279</v>
      </c>
      <c r="V1712" s="13" t="str">
        <f t="shared" si="161"/>
        <v>underfunded</v>
      </c>
    </row>
    <row r="1713" spans="1:22" ht="48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8322</v>
      </c>
      <c r="R1713" t="s">
        <v>8344</v>
      </c>
      <c r="S1713" s="14">
        <f t="shared" si="158"/>
        <v>41852.646226851852</v>
      </c>
      <c r="T1713" s="14">
        <f t="shared" si="159"/>
        <v>41883.646226851852</v>
      </c>
      <c r="U1713" s="64">
        <f t="shared" si="160"/>
        <v>31</v>
      </c>
      <c r="V1713" s="13" t="str">
        <f t="shared" si="161"/>
        <v>underfunded</v>
      </c>
    </row>
    <row r="1714" spans="1:22" ht="48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0" t="s">
        <v>8322</v>
      </c>
      <c r="R1714" t="s">
        <v>8344</v>
      </c>
      <c r="S1714" s="14">
        <f t="shared" si="158"/>
        <v>42125.913807870369</v>
      </c>
      <c r="T1714" s="14">
        <f t="shared" si="159"/>
        <v>42185.913807870369</v>
      </c>
      <c r="U1714" s="64">
        <f t="shared" si="160"/>
        <v>60</v>
      </c>
      <c r="V1714" s="13" t="str">
        <f t="shared" si="161"/>
        <v>underfunded</v>
      </c>
    </row>
    <row r="1715" spans="1:22" ht="48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8322</v>
      </c>
      <c r="R1715" t="s">
        <v>8344</v>
      </c>
      <c r="S1715" s="14">
        <f t="shared" si="158"/>
        <v>41887.801064814819</v>
      </c>
      <c r="T1715" s="14">
        <f t="shared" si="159"/>
        <v>41917.801064814819</v>
      </c>
      <c r="U1715" s="64">
        <f t="shared" si="160"/>
        <v>30</v>
      </c>
      <c r="V1715" s="13" t="str">
        <f t="shared" si="161"/>
        <v>underfunded</v>
      </c>
    </row>
    <row r="1716" spans="1:22" ht="48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8322</v>
      </c>
      <c r="R1716" t="s">
        <v>8344</v>
      </c>
      <c r="S1716" s="14">
        <f t="shared" si="158"/>
        <v>42095.918530092589</v>
      </c>
      <c r="T1716" s="14">
        <f t="shared" si="159"/>
        <v>42125.918530092589</v>
      </c>
      <c r="U1716" s="64">
        <f t="shared" si="160"/>
        <v>30</v>
      </c>
      <c r="V1716" s="13" t="str">
        <f t="shared" si="161"/>
        <v>underfunded</v>
      </c>
    </row>
    <row r="1717" spans="1:22" ht="48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0" t="s">
        <v>8322</v>
      </c>
      <c r="R1717" t="s">
        <v>8344</v>
      </c>
      <c r="S1717" s="14">
        <f t="shared" si="158"/>
        <v>42064.217418981483</v>
      </c>
      <c r="T1717" s="14">
        <f t="shared" si="159"/>
        <v>42094.140277777777</v>
      </c>
      <c r="U1717" s="64">
        <f t="shared" si="160"/>
        <v>29.92285879629344</v>
      </c>
      <c r="V1717" s="13" t="str">
        <f t="shared" si="161"/>
        <v>underfunded</v>
      </c>
    </row>
    <row r="1718" spans="1:22" ht="48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8322</v>
      </c>
      <c r="R1718" t="s">
        <v>8344</v>
      </c>
      <c r="S1718" s="14">
        <f t="shared" si="158"/>
        <v>42673.577534722222</v>
      </c>
      <c r="T1718" s="14">
        <f t="shared" si="159"/>
        <v>42713.619201388887</v>
      </c>
      <c r="U1718" s="64">
        <f t="shared" si="160"/>
        <v>40.041666666664241</v>
      </c>
      <c r="V1718" s="13" t="str">
        <f t="shared" si="161"/>
        <v>underfunded</v>
      </c>
    </row>
    <row r="1719" spans="1:22" ht="48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8322</v>
      </c>
      <c r="R1719" t="s">
        <v>8344</v>
      </c>
      <c r="S1719" s="14">
        <f t="shared" si="158"/>
        <v>42460.98192129629</v>
      </c>
      <c r="T1719" s="14">
        <f t="shared" si="159"/>
        <v>42481.166666666672</v>
      </c>
      <c r="U1719" s="64">
        <f t="shared" si="160"/>
        <v>20.184745370381279</v>
      </c>
      <c r="V1719" s="13" t="str">
        <f t="shared" si="161"/>
        <v>underfunded</v>
      </c>
    </row>
    <row r="1720" spans="1:22" ht="16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0" t="s">
        <v>8322</v>
      </c>
      <c r="R1720" t="s">
        <v>8344</v>
      </c>
      <c r="S1720" s="14">
        <f t="shared" si="158"/>
        <v>42460.610520833332</v>
      </c>
      <c r="T1720" s="14">
        <f t="shared" si="159"/>
        <v>42504.207638888889</v>
      </c>
      <c r="U1720" s="64">
        <f t="shared" si="160"/>
        <v>43.597118055557075</v>
      </c>
      <c r="V1720" s="13" t="str">
        <f t="shared" si="161"/>
        <v>underfunded</v>
      </c>
    </row>
    <row r="1721" spans="1:22" ht="48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8322</v>
      </c>
      <c r="R1721" t="s">
        <v>8344</v>
      </c>
      <c r="S1721" s="14">
        <f t="shared" si="158"/>
        <v>41869.534618055557</v>
      </c>
      <c r="T1721" s="14">
        <f t="shared" si="159"/>
        <v>41899.534618055557</v>
      </c>
      <c r="U1721" s="64">
        <f t="shared" si="160"/>
        <v>30</v>
      </c>
      <c r="V1721" s="13" t="str">
        <f t="shared" si="161"/>
        <v>underfunded</v>
      </c>
    </row>
    <row r="1722" spans="1:22" ht="48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8322</v>
      </c>
      <c r="R1722" t="s">
        <v>8344</v>
      </c>
      <c r="S1722" s="14">
        <f t="shared" si="158"/>
        <v>41922.783229166671</v>
      </c>
      <c r="T1722" s="14">
        <f t="shared" si="159"/>
        <v>41952.824895833335</v>
      </c>
      <c r="U1722" s="64">
        <f t="shared" si="160"/>
        <v>30.041666666664241</v>
      </c>
      <c r="V1722" s="13" t="str">
        <f t="shared" si="161"/>
        <v>underfunded</v>
      </c>
    </row>
    <row r="1723" spans="1:22" ht="48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0" t="s">
        <v>8322</v>
      </c>
      <c r="R1723" t="s">
        <v>8344</v>
      </c>
      <c r="S1723" s="14">
        <f t="shared" si="158"/>
        <v>42319.461377314816</v>
      </c>
      <c r="T1723" s="14">
        <f t="shared" si="159"/>
        <v>42349.461377314816</v>
      </c>
      <c r="U1723" s="64">
        <f t="shared" si="160"/>
        <v>30</v>
      </c>
      <c r="V1723" s="13" t="str">
        <f t="shared" si="161"/>
        <v>underfunded</v>
      </c>
    </row>
    <row r="1724" spans="1:22" ht="48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0" t="s">
        <v>8322</v>
      </c>
      <c r="R1724" t="s">
        <v>8344</v>
      </c>
      <c r="S1724" s="14">
        <f t="shared" si="158"/>
        <v>42425.960983796293</v>
      </c>
      <c r="T1724" s="14">
        <f t="shared" si="159"/>
        <v>42463.006944444445</v>
      </c>
      <c r="U1724" s="64">
        <f t="shared" si="160"/>
        <v>37.045960648152686</v>
      </c>
      <c r="V1724" s="13" t="str">
        <f t="shared" si="161"/>
        <v>underfunded</v>
      </c>
    </row>
    <row r="1725" spans="1:22" ht="48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8322</v>
      </c>
      <c r="R1725" t="s">
        <v>8344</v>
      </c>
      <c r="S1725" s="14">
        <f t="shared" si="158"/>
        <v>42129.82540509259</v>
      </c>
      <c r="T1725" s="14">
        <f t="shared" si="159"/>
        <v>42186.25</v>
      </c>
      <c r="U1725" s="64">
        <f t="shared" si="160"/>
        <v>56.42459490741021</v>
      </c>
      <c r="V1725" s="13" t="str">
        <f t="shared" si="161"/>
        <v>underfunded</v>
      </c>
    </row>
    <row r="1726" spans="1:22" ht="48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8322</v>
      </c>
      <c r="R1726" t="s">
        <v>8344</v>
      </c>
      <c r="S1726" s="14">
        <f t="shared" si="158"/>
        <v>41912.932430555556</v>
      </c>
      <c r="T1726" s="14">
        <f t="shared" si="159"/>
        <v>41942.932430555556</v>
      </c>
      <c r="U1726" s="64">
        <f t="shared" si="160"/>
        <v>30</v>
      </c>
      <c r="V1726" s="13" t="str">
        <f t="shared" si="161"/>
        <v>underfunded</v>
      </c>
    </row>
    <row r="1727" spans="1:22" ht="48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8322</v>
      </c>
      <c r="R1727" t="s">
        <v>8344</v>
      </c>
      <c r="S1727" s="14">
        <f t="shared" si="158"/>
        <v>41845.968159722222</v>
      </c>
      <c r="T1727" s="14">
        <f t="shared" si="159"/>
        <v>41875.968159722222</v>
      </c>
      <c r="U1727" s="64">
        <f t="shared" si="160"/>
        <v>30</v>
      </c>
      <c r="V1727" s="13" t="str">
        <f t="shared" si="161"/>
        <v>underfunded</v>
      </c>
    </row>
    <row r="1728" spans="1:22" ht="3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8322</v>
      </c>
      <c r="R1728" t="s">
        <v>8344</v>
      </c>
      <c r="S1728" s="14">
        <f t="shared" si="158"/>
        <v>41788.919722222221</v>
      </c>
      <c r="T1728" s="14">
        <f t="shared" si="159"/>
        <v>41817.919722222221</v>
      </c>
      <c r="U1728" s="64">
        <f t="shared" si="160"/>
        <v>29</v>
      </c>
      <c r="V1728" s="13" t="str">
        <f t="shared" si="161"/>
        <v>underfunded</v>
      </c>
    </row>
    <row r="1729" spans="1:22" ht="48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0" t="s">
        <v>8322</v>
      </c>
      <c r="R1729" t="s">
        <v>8344</v>
      </c>
      <c r="S1729" s="14">
        <f t="shared" si="158"/>
        <v>42044.927974537044</v>
      </c>
      <c r="T1729" s="14">
        <f t="shared" si="159"/>
        <v>42099.458333333328</v>
      </c>
      <c r="U1729" s="64">
        <f t="shared" si="160"/>
        <v>54.530358796284418</v>
      </c>
      <c r="V1729" s="13" t="str">
        <f t="shared" si="161"/>
        <v>underfunded</v>
      </c>
    </row>
    <row r="1730" spans="1:22" ht="48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>
        <f t="shared" si="157"/>
        <v>122.14</v>
      </c>
      <c r="Q1730" s="10" t="s">
        <v>8322</v>
      </c>
      <c r="R1730" t="s">
        <v>8344</v>
      </c>
      <c r="S1730" s="14">
        <f t="shared" si="158"/>
        <v>42268.625856481478</v>
      </c>
      <c r="T1730" s="14">
        <f t="shared" si="159"/>
        <v>42298.625856481478</v>
      </c>
      <c r="U1730" s="64">
        <f t="shared" si="160"/>
        <v>30</v>
      </c>
      <c r="V1730" s="13" t="str">
        <f t="shared" si="161"/>
        <v>underfunded</v>
      </c>
    </row>
    <row r="1731" spans="1:22" ht="48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ROUND(E1731/D1731*100,0)</f>
        <v>0</v>
      </c>
      <c r="P1731">
        <f t="shared" ref="P1731:P1794" si="163">IFERROR(ROUND(E1731/L1731,2), 0)</f>
        <v>0</v>
      </c>
      <c r="Q1731" s="10" t="s">
        <v>8322</v>
      </c>
      <c r="R1731" t="s">
        <v>8344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 s="64">
        <f t="shared" ref="U1731:V1794" si="166">T1731-S1731</f>
        <v>60</v>
      </c>
      <c r="V1731" s="13" t="str">
        <f t="shared" ref="V1731:V1794" si="167">IF(E1731&gt;=D1731, "funded", "underfunded")</f>
        <v>underfunded</v>
      </c>
    </row>
    <row r="1732" spans="1:22" ht="48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0" t="s">
        <v>8322</v>
      </c>
      <c r="R1732" t="s">
        <v>8344</v>
      </c>
      <c r="S1732" s="14">
        <f t="shared" si="164"/>
        <v>42272.087766203709</v>
      </c>
      <c r="T1732" s="14">
        <f t="shared" si="165"/>
        <v>42302.087766203709</v>
      </c>
      <c r="U1732" s="64">
        <f t="shared" si="166"/>
        <v>30</v>
      </c>
      <c r="V1732" s="13" t="str">
        <f t="shared" si="167"/>
        <v>underfunded</v>
      </c>
    </row>
    <row r="1733" spans="1:22" ht="3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0" t="s">
        <v>8322</v>
      </c>
      <c r="R1733" t="s">
        <v>8344</v>
      </c>
      <c r="S1733" s="14">
        <f t="shared" si="164"/>
        <v>42152.906851851847</v>
      </c>
      <c r="T1733" s="14">
        <f t="shared" si="165"/>
        <v>42166.625</v>
      </c>
      <c r="U1733" s="64">
        <f t="shared" si="166"/>
        <v>13.718148148152977</v>
      </c>
      <c r="V1733" s="13" t="str">
        <f t="shared" si="167"/>
        <v>underfunded</v>
      </c>
    </row>
    <row r="1734" spans="1:22" ht="48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0" t="s">
        <v>8322</v>
      </c>
      <c r="R1734" t="s">
        <v>8344</v>
      </c>
      <c r="S1734" s="14">
        <f t="shared" si="164"/>
        <v>42325.683807870373</v>
      </c>
      <c r="T1734" s="14">
        <f t="shared" si="165"/>
        <v>42385.208333333328</v>
      </c>
      <c r="U1734" s="64">
        <f t="shared" si="166"/>
        <v>59.524525462955353</v>
      </c>
      <c r="V1734" s="13" t="str">
        <f t="shared" si="167"/>
        <v>underfunded</v>
      </c>
    </row>
    <row r="1735" spans="1:22" ht="48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0" t="s">
        <v>8322</v>
      </c>
      <c r="R1735" t="s">
        <v>8344</v>
      </c>
      <c r="S1735" s="14">
        <f t="shared" si="164"/>
        <v>42614.675625000003</v>
      </c>
      <c r="T1735" s="14">
        <f t="shared" si="165"/>
        <v>42626.895833333328</v>
      </c>
      <c r="U1735" s="64">
        <f t="shared" si="166"/>
        <v>12.22020833332499</v>
      </c>
      <c r="V1735" s="13" t="str">
        <f t="shared" si="167"/>
        <v>underfunded</v>
      </c>
    </row>
    <row r="1736" spans="1:22" ht="48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0" t="s">
        <v>8322</v>
      </c>
      <c r="R1736" t="s">
        <v>8344</v>
      </c>
      <c r="S1736" s="14">
        <f t="shared" si="164"/>
        <v>42102.036527777775</v>
      </c>
      <c r="T1736" s="14">
        <f t="shared" si="165"/>
        <v>42132.036527777775</v>
      </c>
      <c r="U1736" s="64">
        <f t="shared" si="166"/>
        <v>30</v>
      </c>
      <c r="V1736" s="13" t="str">
        <f t="shared" si="167"/>
        <v>underfunded</v>
      </c>
    </row>
    <row r="1737" spans="1:22" ht="48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8322</v>
      </c>
      <c r="R1737" t="s">
        <v>8344</v>
      </c>
      <c r="S1737" s="14">
        <f t="shared" si="164"/>
        <v>42559.814178240747</v>
      </c>
      <c r="T1737" s="14">
        <f t="shared" si="165"/>
        <v>42589.814178240747</v>
      </c>
      <c r="U1737" s="64">
        <f t="shared" si="166"/>
        <v>30</v>
      </c>
      <c r="V1737" s="13" t="str">
        <f t="shared" si="167"/>
        <v>underfunded</v>
      </c>
    </row>
    <row r="1738" spans="1:22" ht="3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8322</v>
      </c>
      <c r="R1738" t="s">
        <v>8344</v>
      </c>
      <c r="S1738" s="14">
        <f t="shared" si="164"/>
        <v>42286.861493055556</v>
      </c>
      <c r="T1738" s="14">
        <f t="shared" si="165"/>
        <v>42316.90315972222</v>
      </c>
      <c r="U1738" s="64">
        <f t="shared" si="166"/>
        <v>30.041666666664241</v>
      </c>
      <c r="V1738" s="13" t="str">
        <f t="shared" si="167"/>
        <v>underfunded</v>
      </c>
    </row>
    <row r="1739" spans="1:22" ht="48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8322</v>
      </c>
      <c r="R1739" t="s">
        <v>8344</v>
      </c>
      <c r="S1739" s="14">
        <f t="shared" si="164"/>
        <v>42175.948981481488</v>
      </c>
      <c r="T1739" s="14">
        <f t="shared" si="165"/>
        <v>42205.948981481488</v>
      </c>
      <c r="U1739" s="64">
        <f t="shared" si="166"/>
        <v>30</v>
      </c>
      <c r="V1739" s="13" t="str">
        <f t="shared" si="167"/>
        <v>underfunded</v>
      </c>
    </row>
    <row r="1740" spans="1:22" ht="3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0" t="s">
        <v>8322</v>
      </c>
      <c r="R1740" t="s">
        <v>8344</v>
      </c>
      <c r="S1740" s="14">
        <f t="shared" si="164"/>
        <v>41884.874328703707</v>
      </c>
      <c r="T1740" s="14">
        <f t="shared" si="165"/>
        <v>41914.874328703707</v>
      </c>
      <c r="U1740" s="64">
        <f t="shared" si="166"/>
        <v>30</v>
      </c>
      <c r="V1740" s="13" t="str">
        <f t="shared" si="167"/>
        <v>underfunded</v>
      </c>
    </row>
    <row r="1741" spans="1:22" ht="48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0" t="s">
        <v>8322</v>
      </c>
      <c r="R1741" t="s">
        <v>8344</v>
      </c>
      <c r="S1741" s="14">
        <f t="shared" si="164"/>
        <v>42435.874212962968</v>
      </c>
      <c r="T1741" s="14">
        <f t="shared" si="165"/>
        <v>42494.832546296297</v>
      </c>
      <c r="U1741" s="64">
        <f t="shared" si="166"/>
        <v>58.958333333328483</v>
      </c>
      <c r="V1741" s="13" t="str">
        <f t="shared" si="167"/>
        <v>underfunded</v>
      </c>
    </row>
    <row r="1742" spans="1:22" ht="48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0" t="s">
        <v>8322</v>
      </c>
      <c r="R1742" t="s">
        <v>8344</v>
      </c>
      <c r="S1742" s="14">
        <f t="shared" si="164"/>
        <v>42171.817384259266</v>
      </c>
      <c r="T1742" s="14">
        <f t="shared" si="165"/>
        <v>42201.817384259266</v>
      </c>
      <c r="U1742" s="64">
        <f t="shared" si="166"/>
        <v>30</v>
      </c>
      <c r="V1742" s="13" t="str">
        <f t="shared" si="167"/>
        <v>underfunded</v>
      </c>
    </row>
    <row r="1743" spans="1:22" ht="3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8335</v>
      </c>
      <c r="R1743" t="s">
        <v>8336</v>
      </c>
      <c r="S1743" s="14">
        <f t="shared" si="164"/>
        <v>42120.628136574072</v>
      </c>
      <c r="T1743" s="14">
        <f t="shared" si="165"/>
        <v>42165.628136574072</v>
      </c>
      <c r="U1743" s="64">
        <f t="shared" si="166"/>
        <v>45</v>
      </c>
      <c r="V1743" s="13" t="str">
        <f t="shared" si="167"/>
        <v>funded</v>
      </c>
    </row>
    <row r="1744" spans="1:22" ht="48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8335</v>
      </c>
      <c r="R1744" t="s">
        <v>8336</v>
      </c>
      <c r="S1744" s="14">
        <f t="shared" si="164"/>
        <v>42710.876967592587</v>
      </c>
      <c r="T1744" s="14">
        <f t="shared" si="165"/>
        <v>42742.875</v>
      </c>
      <c r="U1744" s="64">
        <f t="shared" si="166"/>
        <v>31.99803240741312</v>
      </c>
      <c r="V1744" s="13" t="str">
        <f t="shared" si="167"/>
        <v>funded</v>
      </c>
    </row>
    <row r="1745" spans="1:22" ht="48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8335</v>
      </c>
      <c r="R1745" t="s">
        <v>8336</v>
      </c>
      <c r="S1745" s="14">
        <f t="shared" si="164"/>
        <v>42586.925636574073</v>
      </c>
      <c r="T1745" s="14">
        <f t="shared" si="165"/>
        <v>42609.165972222225</v>
      </c>
      <c r="U1745" s="64">
        <f t="shared" si="166"/>
        <v>22.240335648151813</v>
      </c>
      <c r="V1745" s="13" t="str">
        <f t="shared" si="167"/>
        <v>funded</v>
      </c>
    </row>
    <row r="1746" spans="1:22" ht="48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8335</v>
      </c>
      <c r="R1746" t="s">
        <v>8336</v>
      </c>
      <c r="S1746" s="14">
        <f t="shared" si="164"/>
        <v>42026.605057870373</v>
      </c>
      <c r="T1746" s="14">
        <f t="shared" si="165"/>
        <v>42071.563391203701</v>
      </c>
      <c r="U1746" s="64">
        <f t="shared" si="166"/>
        <v>44.958333333328483</v>
      </c>
      <c r="V1746" s="13" t="str">
        <f t="shared" si="167"/>
        <v>funded</v>
      </c>
    </row>
    <row r="1747" spans="1:22" ht="48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8335</v>
      </c>
      <c r="R1747" t="s">
        <v>8336</v>
      </c>
      <c r="S1747" s="14">
        <f t="shared" si="164"/>
        <v>42690.259699074071</v>
      </c>
      <c r="T1747" s="14">
        <f t="shared" si="165"/>
        <v>42726.083333333328</v>
      </c>
      <c r="U1747" s="64">
        <f t="shared" si="166"/>
        <v>35.823634259257233</v>
      </c>
      <c r="V1747" s="13" t="str">
        <f t="shared" si="167"/>
        <v>funded</v>
      </c>
    </row>
    <row r="1748" spans="1:22" ht="48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8335</v>
      </c>
      <c r="R1748" t="s">
        <v>8336</v>
      </c>
      <c r="S1748" s="14">
        <f t="shared" si="164"/>
        <v>42668.176701388889</v>
      </c>
      <c r="T1748" s="14">
        <f t="shared" si="165"/>
        <v>42698.083333333328</v>
      </c>
      <c r="U1748" s="64">
        <f t="shared" si="166"/>
        <v>29.906631944439141</v>
      </c>
      <c r="V1748" s="13" t="str">
        <f t="shared" si="167"/>
        <v>funded</v>
      </c>
    </row>
    <row r="1749" spans="1:22" ht="48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8335</v>
      </c>
      <c r="R1749" t="s">
        <v>8336</v>
      </c>
      <c r="S1749" s="14">
        <f t="shared" si="164"/>
        <v>42292.435532407413</v>
      </c>
      <c r="T1749" s="14">
        <f t="shared" si="165"/>
        <v>42321.625</v>
      </c>
      <c r="U1749" s="64">
        <f t="shared" si="166"/>
        <v>29.18946759258688</v>
      </c>
      <c r="V1749" s="13" t="str">
        <f t="shared" si="167"/>
        <v>funded</v>
      </c>
    </row>
    <row r="1750" spans="1:22" ht="3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8335</v>
      </c>
      <c r="R1750" t="s">
        <v>8336</v>
      </c>
      <c r="S1750" s="14">
        <f t="shared" si="164"/>
        <v>42219.950729166667</v>
      </c>
      <c r="T1750" s="14">
        <f t="shared" si="165"/>
        <v>42249.950729166667</v>
      </c>
      <c r="U1750" s="64">
        <f t="shared" si="166"/>
        <v>30</v>
      </c>
      <c r="V1750" s="13" t="str">
        <f t="shared" si="167"/>
        <v>funded</v>
      </c>
    </row>
    <row r="1751" spans="1:22" ht="3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8335</v>
      </c>
      <c r="R1751" t="s">
        <v>8336</v>
      </c>
      <c r="S1751" s="14">
        <f t="shared" si="164"/>
        <v>42758.975937499999</v>
      </c>
      <c r="T1751" s="14">
        <f t="shared" si="165"/>
        <v>42795.791666666672</v>
      </c>
      <c r="U1751" s="64">
        <f t="shared" si="166"/>
        <v>36.815729166672099</v>
      </c>
      <c r="V1751" s="13" t="str">
        <f t="shared" si="167"/>
        <v>funded</v>
      </c>
    </row>
    <row r="1752" spans="1:22" ht="48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8335</v>
      </c>
      <c r="R1752" t="s">
        <v>8336</v>
      </c>
      <c r="S1752" s="14">
        <f t="shared" si="164"/>
        <v>42454.836851851855</v>
      </c>
      <c r="T1752" s="14">
        <f t="shared" si="165"/>
        <v>42479.836851851855</v>
      </c>
      <c r="U1752" s="64">
        <f t="shared" si="166"/>
        <v>25</v>
      </c>
      <c r="V1752" s="13" t="str">
        <f t="shared" si="167"/>
        <v>funded</v>
      </c>
    </row>
    <row r="1753" spans="1:22" ht="3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8335</v>
      </c>
      <c r="R1753" t="s">
        <v>8336</v>
      </c>
      <c r="S1753" s="14">
        <f t="shared" si="164"/>
        <v>42052.7815162037</v>
      </c>
      <c r="T1753" s="14">
        <f t="shared" si="165"/>
        <v>42082.739849537036</v>
      </c>
      <c r="U1753" s="64">
        <f t="shared" si="166"/>
        <v>29.958333333335759</v>
      </c>
      <c r="V1753" s="13" t="str">
        <f t="shared" si="167"/>
        <v>funded</v>
      </c>
    </row>
    <row r="1754" spans="1:22" ht="3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8335</v>
      </c>
      <c r="R1754" t="s">
        <v>8336</v>
      </c>
      <c r="S1754" s="14">
        <f t="shared" si="164"/>
        <v>42627.253263888888</v>
      </c>
      <c r="T1754" s="14">
        <f t="shared" si="165"/>
        <v>42657.253263888888</v>
      </c>
      <c r="U1754" s="64">
        <f t="shared" si="166"/>
        <v>30</v>
      </c>
      <c r="V1754" s="13" t="str">
        <f t="shared" si="167"/>
        <v>funded</v>
      </c>
    </row>
    <row r="1755" spans="1:22" ht="48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8335</v>
      </c>
      <c r="R1755" t="s">
        <v>8336</v>
      </c>
      <c r="S1755" s="14">
        <f t="shared" si="164"/>
        <v>42420.74962962963</v>
      </c>
      <c r="T1755" s="14">
        <f t="shared" si="165"/>
        <v>42450.707962962959</v>
      </c>
      <c r="U1755" s="64">
        <f t="shared" si="166"/>
        <v>29.958333333328483</v>
      </c>
      <c r="V1755" s="13" t="str">
        <f t="shared" si="167"/>
        <v>funded</v>
      </c>
    </row>
    <row r="1756" spans="1:22" ht="48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8335</v>
      </c>
      <c r="R1756" t="s">
        <v>8336</v>
      </c>
      <c r="S1756" s="14">
        <f t="shared" si="164"/>
        <v>42067.876770833333</v>
      </c>
      <c r="T1756" s="14">
        <f t="shared" si="165"/>
        <v>42097.835104166668</v>
      </c>
      <c r="U1756" s="64">
        <f t="shared" si="166"/>
        <v>29.958333333335759</v>
      </c>
      <c r="V1756" s="13" t="str">
        <f t="shared" si="167"/>
        <v>funded</v>
      </c>
    </row>
    <row r="1757" spans="1:22" ht="48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8335</v>
      </c>
      <c r="R1757" t="s">
        <v>8336</v>
      </c>
      <c r="S1757" s="14">
        <f t="shared" si="164"/>
        <v>42252.788900462961</v>
      </c>
      <c r="T1757" s="14">
        <f t="shared" si="165"/>
        <v>42282.788900462961</v>
      </c>
      <c r="U1757" s="64">
        <f t="shared" si="166"/>
        <v>30</v>
      </c>
      <c r="V1757" s="13" t="str">
        <f t="shared" si="167"/>
        <v>funded</v>
      </c>
    </row>
    <row r="1758" spans="1:22" ht="48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8335</v>
      </c>
      <c r="R1758" t="s">
        <v>8336</v>
      </c>
      <c r="S1758" s="14">
        <f t="shared" si="164"/>
        <v>42571.167465277773</v>
      </c>
      <c r="T1758" s="14">
        <f t="shared" si="165"/>
        <v>42611.167465277773</v>
      </c>
      <c r="U1758" s="64">
        <f t="shared" si="166"/>
        <v>40</v>
      </c>
      <c r="V1758" s="13" t="str">
        <f t="shared" si="167"/>
        <v>funded</v>
      </c>
    </row>
    <row r="1759" spans="1:22" ht="3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8335</v>
      </c>
      <c r="R1759" t="s">
        <v>8336</v>
      </c>
      <c r="S1759" s="14">
        <f t="shared" si="164"/>
        <v>42733.827349537038</v>
      </c>
      <c r="T1759" s="14">
        <f t="shared" si="165"/>
        <v>42763.811805555553</v>
      </c>
      <c r="U1759" s="64">
        <f t="shared" si="166"/>
        <v>29.98445601851563</v>
      </c>
      <c r="V1759" s="13" t="str">
        <f t="shared" si="167"/>
        <v>funded</v>
      </c>
    </row>
    <row r="1760" spans="1:22" ht="48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8335</v>
      </c>
      <c r="R1760" t="s">
        <v>8336</v>
      </c>
      <c r="S1760" s="14">
        <f t="shared" si="164"/>
        <v>42505.955925925926</v>
      </c>
      <c r="T1760" s="14">
        <f t="shared" si="165"/>
        <v>42565.955925925926</v>
      </c>
      <c r="U1760" s="64">
        <f t="shared" si="166"/>
        <v>60</v>
      </c>
      <c r="V1760" s="13" t="str">
        <f t="shared" si="167"/>
        <v>funded</v>
      </c>
    </row>
    <row r="1761" spans="1:22" ht="3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8335</v>
      </c>
      <c r="R1761" t="s">
        <v>8336</v>
      </c>
      <c r="S1761" s="14">
        <f t="shared" si="164"/>
        <v>42068.829039351855</v>
      </c>
      <c r="T1761" s="14">
        <f t="shared" si="165"/>
        <v>42088.787372685183</v>
      </c>
      <c r="U1761" s="64">
        <f t="shared" si="166"/>
        <v>19.958333333328483</v>
      </c>
      <c r="V1761" s="13" t="str">
        <f t="shared" si="167"/>
        <v>funded</v>
      </c>
    </row>
    <row r="1762" spans="1:22" ht="48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8335</v>
      </c>
      <c r="R1762" t="s">
        <v>8336</v>
      </c>
      <c r="S1762" s="14">
        <f t="shared" si="164"/>
        <v>42405.67260416667</v>
      </c>
      <c r="T1762" s="14">
        <f t="shared" si="165"/>
        <v>42425.67260416667</v>
      </c>
      <c r="U1762" s="64">
        <f t="shared" si="166"/>
        <v>20</v>
      </c>
      <c r="V1762" s="13" t="str">
        <f t="shared" si="167"/>
        <v>funded</v>
      </c>
    </row>
    <row r="1763" spans="1:22" ht="3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8335</v>
      </c>
      <c r="R1763" t="s">
        <v>8336</v>
      </c>
      <c r="S1763" s="14">
        <f t="shared" si="164"/>
        <v>42209.567824074074</v>
      </c>
      <c r="T1763" s="14">
        <f t="shared" si="165"/>
        <v>42259.567824074074</v>
      </c>
      <c r="U1763" s="64">
        <f t="shared" si="166"/>
        <v>50</v>
      </c>
      <c r="V1763" s="13" t="str">
        <f t="shared" si="167"/>
        <v>funded</v>
      </c>
    </row>
    <row r="1764" spans="1:22" ht="16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8335</v>
      </c>
      <c r="R1764" t="s">
        <v>8336</v>
      </c>
      <c r="S1764" s="14">
        <f t="shared" si="164"/>
        <v>42410.982002314813</v>
      </c>
      <c r="T1764" s="14">
        <f t="shared" si="165"/>
        <v>42440.982002314813</v>
      </c>
      <c r="U1764" s="64">
        <f t="shared" si="166"/>
        <v>30</v>
      </c>
      <c r="V1764" s="13" t="str">
        <f t="shared" si="167"/>
        <v>funded</v>
      </c>
    </row>
    <row r="1765" spans="1:22" ht="48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8335</v>
      </c>
      <c r="R1765" t="s">
        <v>8336</v>
      </c>
      <c r="S1765" s="14">
        <f t="shared" si="164"/>
        <v>42636.868518518517</v>
      </c>
      <c r="T1765" s="14">
        <f t="shared" si="165"/>
        <v>42666.868518518517</v>
      </c>
      <c r="U1765" s="64">
        <f t="shared" si="166"/>
        <v>30</v>
      </c>
      <c r="V1765" s="13" t="str">
        <f t="shared" si="167"/>
        <v>funded</v>
      </c>
    </row>
    <row r="1766" spans="1:22" ht="48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8335</v>
      </c>
      <c r="R1766" t="s">
        <v>8336</v>
      </c>
      <c r="S1766" s="14">
        <f t="shared" si="164"/>
        <v>41825.485868055555</v>
      </c>
      <c r="T1766" s="14">
        <f t="shared" si="165"/>
        <v>41854.485868055555</v>
      </c>
      <c r="U1766" s="64">
        <f t="shared" si="166"/>
        <v>29</v>
      </c>
      <c r="V1766" s="13" t="str">
        <f t="shared" si="167"/>
        <v>underfunded</v>
      </c>
    </row>
    <row r="1767" spans="1:22" ht="48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8335</v>
      </c>
      <c r="R1767" t="s">
        <v>8336</v>
      </c>
      <c r="S1767" s="14">
        <f t="shared" si="164"/>
        <v>41834.980462962965</v>
      </c>
      <c r="T1767" s="14">
        <f t="shared" si="165"/>
        <v>41864.980462962965</v>
      </c>
      <c r="U1767" s="64">
        <f t="shared" si="166"/>
        <v>30</v>
      </c>
      <c r="V1767" s="13" t="str">
        <f t="shared" si="167"/>
        <v>underfunded</v>
      </c>
    </row>
    <row r="1768" spans="1:22" ht="3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0" t="s">
        <v>8335</v>
      </c>
      <c r="R1768" t="s">
        <v>8336</v>
      </c>
      <c r="S1768" s="14">
        <f t="shared" si="164"/>
        <v>41855.859814814816</v>
      </c>
      <c r="T1768" s="14">
        <f t="shared" si="165"/>
        <v>41876.859814814816</v>
      </c>
      <c r="U1768" s="64">
        <f t="shared" si="166"/>
        <v>21</v>
      </c>
      <c r="V1768" s="13" t="str">
        <f t="shared" si="167"/>
        <v>underfunded</v>
      </c>
    </row>
    <row r="1769" spans="1:22" ht="3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8335</v>
      </c>
      <c r="R1769" t="s">
        <v>8336</v>
      </c>
      <c r="S1769" s="14">
        <f t="shared" si="164"/>
        <v>41824.658379629633</v>
      </c>
      <c r="T1769" s="14">
        <f t="shared" si="165"/>
        <v>41854.658379629633</v>
      </c>
      <c r="U1769" s="64">
        <f t="shared" si="166"/>
        <v>30</v>
      </c>
      <c r="V1769" s="13" t="str">
        <f t="shared" si="167"/>
        <v>underfunded</v>
      </c>
    </row>
    <row r="1770" spans="1:22" ht="48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8335</v>
      </c>
      <c r="R1770" t="s">
        <v>8336</v>
      </c>
      <c r="S1770" s="14">
        <f t="shared" si="164"/>
        <v>41849.560694444444</v>
      </c>
      <c r="T1770" s="14">
        <f t="shared" si="165"/>
        <v>41909.560694444444</v>
      </c>
      <c r="U1770" s="64">
        <f t="shared" si="166"/>
        <v>60</v>
      </c>
      <c r="V1770" s="13" t="str">
        <f t="shared" si="167"/>
        <v>underfunded</v>
      </c>
    </row>
    <row r="1771" spans="1:22" ht="48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8335</v>
      </c>
      <c r="R1771" t="s">
        <v>8336</v>
      </c>
      <c r="S1771" s="14">
        <f t="shared" si="164"/>
        <v>41987.818969907406</v>
      </c>
      <c r="T1771" s="14">
        <f t="shared" si="165"/>
        <v>42017.818969907406</v>
      </c>
      <c r="U1771" s="64">
        <f t="shared" si="166"/>
        <v>30</v>
      </c>
      <c r="V1771" s="13" t="str">
        <f t="shared" si="167"/>
        <v>underfunded</v>
      </c>
    </row>
    <row r="1772" spans="1:22" ht="48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8335</v>
      </c>
      <c r="R1772" t="s">
        <v>8336</v>
      </c>
      <c r="S1772" s="14">
        <f t="shared" si="164"/>
        <v>41891.780023148152</v>
      </c>
      <c r="T1772" s="14">
        <f t="shared" si="165"/>
        <v>41926.780023148152</v>
      </c>
      <c r="U1772" s="64">
        <f t="shared" si="166"/>
        <v>35</v>
      </c>
      <c r="V1772" s="13" t="str">
        <f t="shared" si="167"/>
        <v>underfunded</v>
      </c>
    </row>
    <row r="1773" spans="1:22" ht="48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8335</v>
      </c>
      <c r="R1773" t="s">
        <v>8336</v>
      </c>
      <c r="S1773" s="14">
        <f t="shared" si="164"/>
        <v>41905.979629629634</v>
      </c>
      <c r="T1773" s="14">
        <f t="shared" si="165"/>
        <v>41935.979629629634</v>
      </c>
      <c r="U1773" s="64">
        <f t="shared" si="166"/>
        <v>30</v>
      </c>
      <c r="V1773" s="13" t="str">
        <f t="shared" si="167"/>
        <v>underfunded</v>
      </c>
    </row>
    <row r="1774" spans="1:22" ht="3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8335</v>
      </c>
      <c r="R1774" t="s">
        <v>8336</v>
      </c>
      <c r="S1774" s="14">
        <f t="shared" si="164"/>
        <v>41766.718009259261</v>
      </c>
      <c r="T1774" s="14">
        <f t="shared" si="165"/>
        <v>41826.718009259261</v>
      </c>
      <c r="U1774" s="64">
        <f t="shared" si="166"/>
        <v>60</v>
      </c>
      <c r="V1774" s="13" t="str">
        <f t="shared" si="167"/>
        <v>underfunded</v>
      </c>
    </row>
    <row r="1775" spans="1:22" ht="48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8335</v>
      </c>
      <c r="R1775" t="s">
        <v>8336</v>
      </c>
      <c r="S1775" s="14">
        <f t="shared" si="164"/>
        <v>41978.760393518518</v>
      </c>
      <c r="T1775" s="14">
        <f t="shared" si="165"/>
        <v>42023.760393518518</v>
      </c>
      <c r="U1775" s="64">
        <f t="shared" si="166"/>
        <v>45</v>
      </c>
      <c r="V1775" s="13" t="str">
        <f t="shared" si="167"/>
        <v>underfunded</v>
      </c>
    </row>
    <row r="1776" spans="1:22" ht="48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8335</v>
      </c>
      <c r="R1776" t="s">
        <v>8336</v>
      </c>
      <c r="S1776" s="14">
        <f t="shared" si="164"/>
        <v>41930.218657407408</v>
      </c>
      <c r="T1776" s="14">
        <f t="shared" si="165"/>
        <v>41972.624305555553</v>
      </c>
      <c r="U1776" s="64">
        <f t="shared" si="166"/>
        <v>42.405648148145701</v>
      </c>
      <c r="V1776" s="13" t="str">
        <f t="shared" si="167"/>
        <v>underfunded</v>
      </c>
    </row>
    <row r="1777" spans="1:22" ht="48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8335</v>
      </c>
      <c r="R1777" t="s">
        <v>8336</v>
      </c>
      <c r="S1777" s="14">
        <f t="shared" si="164"/>
        <v>41891.976388888892</v>
      </c>
      <c r="T1777" s="14">
        <f t="shared" si="165"/>
        <v>41936.976388888892</v>
      </c>
      <c r="U1777" s="64">
        <f t="shared" si="166"/>
        <v>45</v>
      </c>
      <c r="V1777" s="13" t="str">
        <f t="shared" si="167"/>
        <v>underfunded</v>
      </c>
    </row>
    <row r="1778" spans="1:22" ht="48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8335</v>
      </c>
      <c r="R1778" t="s">
        <v>8336</v>
      </c>
      <c r="S1778" s="14">
        <f t="shared" si="164"/>
        <v>41905.95684027778</v>
      </c>
      <c r="T1778" s="14">
        <f t="shared" si="165"/>
        <v>41941.95684027778</v>
      </c>
      <c r="U1778" s="64">
        <f t="shared" si="166"/>
        <v>36</v>
      </c>
      <c r="V1778" s="13" t="str">
        <f t="shared" si="167"/>
        <v>underfunded</v>
      </c>
    </row>
    <row r="1779" spans="1:22" ht="48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8335</v>
      </c>
      <c r="R1779" t="s">
        <v>8336</v>
      </c>
      <c r="S1779" s="14">
        <f t="shared" si="164"/>
        <v>42025.357094907406</v>
      </c>
      <c r="T1779" s="14">
        <f t="shared" si="165"/>
        <v>42055.357094907406</v>
      </c>
      <c r="U1779" s="64">
        <f t="shared" si="166"/>
        <v>30</v>
      </c>
      <c r="V1779" s="13" t="str">
        <f t="shared" si="167"/>
        <v>underfunded</v>
      </c>
    </row>
    <row r="1780" spans="1:22" ht="48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8335</v>
      </c>
      <c r="R1780" t="s">
        <v>8336</v>
      </c>
      <c r="S1780" s="14">
        <f t="shared" si="164"/>
        <v>42045.86336805555</v>
      </c>
      <c r="T1780" s="14">
        <f t="shared" si="165"/>
        <v>42090.821701388893</v>
      </c>
      <c r="U1780" s="64">
        <f t="shared" si="166"/>
        <v>44.958333333343035</v>
      </c>
      <c r="V1780" s="13" t="str">
        <f t="shared" si="167"/>
        <v>underfunded</v>
      </c>
    </row>
    <row r="1781" spans="1:22" ht="48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8335</v>
      </c>
      <c r="R1781" t="s">
        <v>8336</v>
      </c>
      <c r="S1781" s="14">
        <f t="shared" si="164"/>
        <v>42585.691898148143</v>
      </c>
      <c r="T1781" s="14">
        <f t="shared" si="165"/>
        <v>42615.691898148143</v>
      </c>
      <c r="U1781" s="64">
        <f t="shared" si="166"/>
        <v>30</v>
      </c>
      <c r="V1781" s="13" t="str">
        <f t="shared" si="167"/>
        <v>underfunded</v>
      </c>
    </row>
    <row r="1782" spans="1:22" ht="48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8335</v>
      </c>
      <c r="R1782" t="s">
        <v>8336</v>
      </c>
      <c r="S1782" s="14">
        <f t="shared" si="164"/>
        <v>42493.600810185191</v>
      </c>
      <c r="T1782" s="14">
        <f t="shared" si="165"/>
        <v>42553.600810185191</v>
      </c>
      <c r="U1782" s="64">
        <f t="shared" si="166"/>
        <v>60</v>
      </c>
      <c r="V1782" s="13" t="str">
        <f t="shared" si="167"/>
        <v>underfunded</v>
      </c>
    </row>
    <row r="1783" spans="1:22" ht="48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8335</v>
      </c>
      <c r="R1783" t="s">
        <v>8336</v>
      </c>
      <c r="S1783" s="14">
        <f t="shared" si="164"/>
        <v>42597.617418981477</v>
      </c>
      <c r="T1783" s="14">
        <f t="shared" si="165"/>
        <v>42628.617418981477</v>
      </c>
      <c r="U1783" s="64">
        <f t="shared" si="166"/>
        <v>31</v>
      </c>
      <c r="V1783" s="13" t="str">
        <f t="shared" si="167"/>
        <v>underfunded</v>
      </c>
    </row>
    <row r="1784" spans="1:22" ht="48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8335</v>
      </c>
      <c r="R1784" t="s">
        <v>8336</v>
      </c>
      <c r="S1784" s="14">
        <f t="shared" si="164"/>
        <v>42388.575104166666</v>
      </c>
      <c r="T1784" s="14">
        <f t="shared" si="165"/>
        <v>42421.575104166666</v>
      </c>
      <c r="U1784" s="64">
        <f t="shared" si="166"/>
        <v>33</v>
      </c>
      <c r="V1784" s="13" t="str">
        <f t="shared" si="167"/>
        <v>underfunded</v>
      </c>
    </row>
    <row r="1785" spans="1:22" ht="48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8335</v>
      </c>
      <c r="R1785" t="s">
        <v>8336</v>
      </c>
      <c r="S1785" s="14">
        <f t="shared" si="164"/>
        <v>42115.949976851851</v>
      </c>
      <c r="T1785" s="14">
        <f t="shared" si="165"/>
        <v>42145.949976851851</v>
      </c>
      <c r="U1785" s="64">
        <f t="shared" si="166"/>
        <v>30</v>
      </c>
      <c r="V1785" s="13" t="str">
        <f t="shared" si="167"/>
        <v>underfunded</v>
      </c>
    </row>
    <row r="1786" spans="1:22" ht="48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8335</v>
      </c>
      <c r="R1786" t="s">
        <v>8336</v>
      </c>
      <c r="S1786" s="14">
        <f t="shared" si="164"/>
        <v>42003.655555555553</v>
      </c>
      <c r="T1786" s="14">
        <f t="shared" si="165"/>
        <v>42035.142361111109</v>
      </c>
      <c r="U1786" s="64">
        <f t="shared" si="166"/>
        <v>31.486805555556202</v>
      </c>
      <c r="V1786" s="13" t="str">
        <f t="shared" si="167"/>
        <v>underfunded</v>
      </c>
    </row>
    <row r="1787" spans="1:22" ht="48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8335</v>
      </c>
      <c r="R1787" t="s">
        <v>8336</v>
      </c>
      <c r="S1787" s="14">
        <f t="shared" si="164"/>
        <v>41897.134895833333</v>
      </c>
      <c r="T1787" s="14">
        <f t="shared" si="165"/>
        <v>41928</v>
      </c>
      <c r="U1787" s="64">
        <f t="shared" si="166"/>
        <v>30.865104166667152</v>
      </c>
      <c r="V1787" s="13" t="str">
        <f t="shared" si="167"/>
        <v>underfunded</v>
      </c>
    </row>
    <row r="1788" spans="1:22" ht="48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8335</v>
      </c>
      <c r="R1788" t="s">
        <v>8336</v>
      </c>
      <c r="S1788" s="14">
        <f t="shared" si="164"/>
        <v>41958.550659722227</v>
      </c>
      <c r="T1788" s="14">
        <f t="shared" si="165"/>
        <v>41988.550659722227</v>
      </c>
      <c r="U1788" s="64">
        <f t="shared" si="166"/>
        <v>30</v>
      </c>
      <c r="V1788" s="13" t="str">
        <f t="shared" si="167"/>
        <v>underfunded</v>
      </c>
    </row>
    <row r="1789" spans="1:22" ht="48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8335</v>
      </c>
      <c r="R1789" t="s">
        <v>8336</v>
      </c>
      <c r="S1789" s="14">
        <f t="shared" si="164"/>
        <v>42068.65552083333</v>
      </c>
      <c r="T1789" s="14">
        <f t="shared" si="165"/>
        <v>42098.613854166666</v>
      </c>
      <c r="U1789" s="64">
        <f t="shared" si="166"/>
        <v>29.958333333335759</v>
      </c>
      <c r="V1789" s="13" t="str">
        <f t="shared" si="167"/>
        <v>underfunded</v>
      </c>
    </row>
    <row r="1790" spans="1:22" ht="48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8335</v>
      </c>
      <c r="R1790" t="s">
        <v>8336</v>
      </c>
      <c r="S1790" s="14">
        <f t="shared" si="164"/>
        <v>41913.94840277778</v>
      </c>
      <c r="T1790" s="14">
        <f t="shared" si="165"/>
        <v>41943.94840277778</v>
      </c>
      <c r="U1790" s="64">
        <f t="shared" si="166"/>
        <v>30</v>
      </c>
      <c r="V1790" s="13" t="str">
        <f t="shared" si="167"/>
        <v>underfunded</v>
      </c>
    </row>
    <row r="1791" spans="1:22" ht="48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8335</v>
      </c>
      <c r="R1791" t="s">
        <v>8336</v>
      </c>
      <c r="S1791" s="14">
        <f t="shared" si="164"/>
        <v>41956.250034722223</v>
      </c>
      <c r="T1791" s="14">
        <f t="shared" si="165"/>
        <v>42016.250034722223</v>
      </c>
      <c r="U1791" s="64">
        <f t="shared" si="166"/>
        <v>60</v>
      </c>
      <c r="V1791" s="13" t="str">
        <f t="shared" si="167"/>
        <v>underfunded</v>
      </c>
    </row>
    <row r="1792" spans="1:22" ht="48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8335</v>
      </c>
      <c r="R1792" t="s">
        <v>8336</v>
      </c>
      <c r="S1792" s="14">
        <f t="shared" si="164"/>
        <v>42010.674513888895</v>
      </c>
      <c r="T1792" s="14">
        <f t="shared" si="165"/>
        <v>42040.674513888895</v>
      </c>
      <c r="U1792" s="64">
        <f t="shared" si="166"/>
        <v>30</v>
      </c>
      <c r="V1792" s="13" t="str">
        <f t="shared" si="167"/>
        <v>underfunded</v>
      </c>
    </row>
    <row r="1793" spans="1:22" ht="3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8335</v>
      </c>
      <c r="R1793" t="s">
        <v>8336</v>
      </c>
      <c r="S1793" s="14">
        <f t="shared" si="164"/>
        <v>41973.740335648152</v>
      </c>
      <c r="T1793" s="14">
        <f t="shared" si="165"/>
        <v>42033.740335648152</v>
      </c>
      <c r="U1793" s="64">
        <f t="shared" si="166"/>
        <v>60</v>
      </c>
      <c r="V1793" s="13" t="str">
        <f t="shared" si="167"/>
        <v>underfunded</v>
      </c>
    </row>
    <row r="1794" spans="1:22" ht="3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>
        <f t="shared" si="163"/>
        <v>109.94</v>
      </c>
      <c r="Q1794" s="10" t="s">
        <v>8335</v>
      </c>
      <c r="R1794" t="s">
        <v>8336</v>
      </c>
      <c r="S1794" s="14">
        <f t="shared" si="164"/>
        <v>42189.031041666662</v>
      </c>
      <c r="T1794" s="14">
        <f t="shared" si="165"/>
        <v>42226.290972222225</v>
      </c>
      <c r="U1794" s="64">
        <f t="shared" si="166"/>
        <v>37.259930555563187</v>
      </c>
      <c r="V1794" s="13" t="str">
        <f t="shared" si="167"/>
        <v>underfunded</v>
      </c>
    </row>
    <row r="1795" spans="1:22" ht="48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ROUND(E1795/D1795*100,0)</f>
        <v>1</v>
      </c>
      <c r="P1795">
        <f t="shared" ref="P1795:P1858" si="169">IFERROR(ROUND(E1795/L1795,2), 0)</f>
        <v>20</v>
      </c>
      <c r="Q1795" s="10" t="s">
        <v>8335</v>
      </c>
      <c r="R1795" t="s">
        <v>8336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 s="64">
        <f t="shared" ref="U1795:V1858" si="172">T1795-S1795</f>
        <v>30.041666666664241</v>
      </c>
      <c r="V1795" s="13" t="str">
        <f t="shared" ref="V1795:V1858" si="173">IF(E1795&gt;=D1795, "funded", "underfunded")</f>
        <v>underfunded</v>
      </c>
    </row>
    <row r="1796" spans="1:22" ht="48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8335</v>
      </c>
      <c r="R1796" t="s">
        <v>8336</v>
      </c>
      <c r="S1796" s="14">
        <f t="shared" si="170"/>
        <v>42011.551180555558</v>
      </c>
      <c r="T1796" s="14">
        <f t="shared" si="171"/>
        <v>42046.551180555558</v>
      </c>
      <c r="U1796" s="64">
        <f t="shared" si="172"/>
        <v>35</v>
      </c>
      <c r="V1796" s="13" t="str">
        <f t="shared" si="173"/>
        <v>underfunded</v>
      </c>
    </row>
    <row r="1797" spans="1:22" ht="48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8335</v>
      </c>
      <c r="R1797" t="s">
        <v>8336</v>
      </c>
      <c r="S1797" s="14">
        <f t="shared" si="170"/>
        <v>42628.288668981477</v>
      </c>
      <c r="T1797" s="14">
        <f t="shared" si="171"/>
        <v>42657.666666666672</v>
      </c>
      <c r="U1797" s="64">
        <f t="shared" si="172"/>
        <v>29.377997685194714</v>
      </c>
      <c r="V1797" s="13" t="str">
        <f t="shared" si="173"/>
        <v>underfunded</v>
      </c>
    </row>
    <row r="1798" spans="1:22" ht="48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8335</v>
      </c>
      <c r="R1798" t="s">
        <v>8336</v>
      </c>
      <c r="S1798" s="14">
        <f t="shared" si="170"/>
        <v>42515.439421296294</v>
      </c>
      <c r="T1798" s="14">
        <f t="shared" si="171"/>
        <v>42575.439421296294</v>
      </c>
      <c r="U1798" s="64">
        <f t="shared" si="172"/>
        <v>60</v>
      </c>
      <c r="V1798" s="13" t="str">
        <f t="shared" si="173"/>
        <v>underfunded</v>
      </c>
    </row>
    <row r="1799" spans="1:22" ht="48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8335</v>
      </c>
      <c r="R1799" t="s">
        <v>8336</v>
      </c>
      <c r="S1799" s="14">
        <f t="shared" si="170"/>
        <v>42689.56931712963</v>
      </c>
      <c r="T1799" s="14">
        <f t="shared" si="171"/>
        <v>42719.56931712963</v>
      </c>
      <c r="U1799" s="64">
        <f t="shared" si="172"/>
        <v>30</v>
      </c>
      <c r="V1799" s="13" t="str">
        <f t="shared" si="173"/>
        <v>underfunded</v>
      </c>
    </row>
    <row r="1800" spans="1:22" ht="48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8335</v>
      </c>
      <c r="R1800" t="s">
        <v>8336</v>
      </c>
      <c r="S1800" s="14">
        <f t="shared" si="170"/>
        <v>42344.32677083333</v>
      </c>
      <c r="T1800" s="14">
        <f t="shared" si="171"/>
        <v>42404.32677083333</v>
      </c>
      <c r="U1800" s="64">
        <f t="shared" si="172"/>
        <v>60</v>
      </c>
      <c r="V1800" s="13" t="str">
        <f t="shared" si="173"/>
        <v>underfunded</v>
      </c>
    </row>
    <row r="1801" spans="1:22" ht="3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8335</v>
      </c>
      <c r="R1801" t="s">
        <v>8336</v>
      </c>
      <c r="S1801" s="14">
        <f t="shared" si="170"/>
        <v>41934.842685185184</v>
      </c>
      <c r="T1801" s="14">
        <f t="shared" si="171"/>
        <v>41954.884351851855</v>
      </c>
      <c r="U1801" s="64">
        <f t="shared" si="172"/>
        <v>20.041666666671517</v>
      </c>
      <c r="V1801" s="13" t="str">
        <f t="shared" si="173"/>
        <v>underfunded</v>
      </c>
    </row>
    <row r="1802" spans="1:22" ht="48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8335</v>
      </c>
      <c r="R1802" t="s">
        <v>8336</v>
      </c>
      <c r="S1802" s="14">
        <f t="shared" si="170"/>
        <v>42623.606134259258</v>
      </c>
      <c r="T1802" s="14">
        <f t="shared" si="171"/>
        <v>42653.606134259258</v>
      </c>
      <c r="U1802" s="64">
        <f t="shared" si="172"/>
        <v>30</v>
      </c>
      <c r="V1802" s="13" t="str">
        <f t="shared" si="173"/>
        <v>underfunded</v>
      </c>
    </row>
    <row r="1803" spans="1:22" ht="48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8335</v>
      </c>
      <c r="R1803" t="s">
        <v>8336</v>
      </c>
      <c r="S1803" s="14">
        <f t="shared" si="170"/>
        <v>42321.660509259258</v>
      </c>
      <c r="T1803" s="14">
        <f t="shared" si="171"/>
        <v>42353.506944444445</v>
      </c>
      <c r="U1803" s="64">
        <f t="shared" si="172"/>
        <v>31.846435185187147</v>
      </c>
      <c r="V1803" s="13" t="str">
        <f t="shared" si="173"/>
        <v>underfunded</v>
      </c>
    </row>
    <row r="1804" spans="1:22" ht="3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8335</v>
      </c>
      <c r="R1804" t="s">
        <v>8336</v>
      </c>
      <c r="S1804" s="14">
        <f t="shared" si="170"/>
        <v>42159.47256944445</v>
      </c>
      <c r="T1804" s="14">
        <f t="shared" si="171"/>
        <v>42182.915972222225</v>
      </c>
      <c r="U1804" s="64">
        <f t="shared" si="172"/>
        <v>23.443402777775191</v>
      </c>
      <c r="V1804" s="13" t="str">
        <f t="shared" si="173"/>
        <v>underfunded</v>
      </c>
    </row>
    <row r="1805" spans="1:22" ht="48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8335</v>
      </c>
      <c r="R1805" t="s">
        <v>8336</v>
      </c>
      <c r="S1805" s="14">
        <f t="shared" si="170"/>
        <v>42018.071550925932</v>
      </c>
      <c r="T1805" s="14">
        <f t="shared" si="171"/>
        <v>42049.071550925932</v>
      </c>
      <c r="U1805" s="64">
        <f t="shared" si="172"/>
        <v>31</v>
      </c>
      <c r="V1805" s="13" t="str">
        <f t="shared" si="173"/>
        <v>underfunded</v>
      </c>
    </row>
    <row r="1806" spans="1:22" ht="48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8335</v>
      </c>
      <c r="R1806" t="s">
        <v>8336</v>
      </c>
      <c r="S1806" s="14">
        <f t="shared" si="170"/>
        <v>42282.678287037037</v>
      </c>
      <c r="T1806" s="14">
        <f t="shared" si="171"/>
        <v>42322.719953703709</v>
      </c>
      <c r="U1806" s="64">
        <f t="shared" si="172"/>
        <v>40.041666666671517</v>
      </c>
      <c r="V1806" s="13" t="str">
        <f t="shared" si="173"/>
        <v>underfunded</v>
      </c>
    </row>
    <row r="1807" spans="1:22" ht="48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8335</v>
      </c>
      <c r="R1807" t="s">
        <v>8336</v>
      </c>
      <c r="S1807" s="14">
        <f t="shared" si="170"/>
        <v>42247.803912037038</v>
      </c>
      <c r="T1807" s="14">
        <f t="shared" si="171"/>
        <v>42279.75</v>
      </c>
      <c r="U1807" s="64">
        <f t="shared" si="172"/>
        <v>31.946087962962338</v>
      </c>
      <c r="V1807" s="13" t="str">
        <f t="shared" si="173"/>
        <v>underfunded</v>
      </c>
    </row>
    <row r="1808" spans="1:22" ht="48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8335</v>
      </c>
      <c r="R1808" t="s">
        <v>8336</v>
      </c>
      <c r="S1808" s="14">
        <f t="shared" si="170"/>
        <v>41877.638298611113</v>
      </c>
      <c r="T1808" s="14">
        <f t="shared" si="171"/>
        <v>41912.638298611113</v>
      </c>
      <c r="U1808" s="64">
        <f t="shared" si="172"/>
        <v>35</v>
      </c>
      <c r="V1808" s="13" t="str">
        <f t="shared" si="173"/>
        <v>underfunded</v>
      </c>
    </row>
    <row r="1809" spans="1:22" ht="3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8335</v>
      </c>
      <c r="R1809" t="s">
        <v>8336</v>
      </c>
      <c r="S1809" s="14">
        <f t="shared" si="170"/>
        <v>41880.068437499998</v>
      </c>
      <c r="T1809" s="14">
        <f t="shared" si="171"/>
        <v>41910.068437499998</v>
      </c>
      <c r="U1809" s="64">
        <f t="shared" si="172"/>
        <v>30</v>
      </c>
      <c r="V1809" s="13" t="str">
        <f t="shared" si="173"/>
        <v>underfunded</v>
      </c>
    </row>
    <row r="1810" spans="1:22" ht="48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8335</v>
      </c>
      <c r="R1810" t="s">
        <v>8336</v>
      </c>
      <c r="S1810" s="14">
        <f t="shared" si="170"/>
        <v>42742.680902777778</v>
      </c>
      <c r="T1810" s="14">
        <f t="shared" si="171"/>
        <v>42777.680902777778</v>
      </c>
      <c r="U1810" s="64">
        <f t="shared" si="172"/>
        <v>35</v>
      </c>
      <c r="V1810" s="13" t="str">
        <f t="shared" si="173"/>
        <v>underfunded</v>
      </c>
    </row>
    <row r="1811" spans="1:22" ht="48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8335</v>
      </c>
      <c r="R1811" t="s">
        <v>8336</v>
      </c>
      <c r="S1811" s="14">
        <f t="shared" si="170"/>
        <v>42029.907858796301</v>
      </c>
      <c r="T1811" s="14">
        <f t="shared" si="171"/>
        <v>42064.907858796301</v>
      </c>
      <c r="U1811" s="64">
        <f t="shared" si="172"/>
        <v>35</v>
      </c>
      <c r="V1811" s="13" t="str">
        <f t="shared" si="173"/>
        <v>underfunded</v>
      </c>
    </row>
    <row r="1812" spans="1:22" ht="48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8335</v>
      </c>
      <c r="R1812" t="s">
        <v>8336</v>
      </c>
      <c r="S1812" s="14">
        <f t="shared" si="170"/>
        <v>41860.91002314815</v>
      </c>
      <c r="T1812" s="14">
        <f t="shared" si="171"/>
        <v>41872.91002314815</v>
      </c>
      <c r="U1812" s="64">
        <f t="shared" si="172"/>
        <v>12</v>
      </c>
      <c r="V1812" s="13" t="str">
        <f t="shared" si="173"/>
        <v>underfunded</v>
      </c>
    </row>
    <row r="1813" spans="1:22" ht="3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0" t="s">
        <v>8335</v>
      </c>
      <c r="R1813" t="s">
        <v>8336</v>
      </c>
      <c r="S1813" s="14">
        <f t="shared" si="170"/>
        <v>41876.433680555558</v>
      </c>
      <c r="T1813" s="14">
        <f t="shared" si="171"/>
        <v>41936.166666666664</v>
      </c>
      <c r="U1813" s="64">
        <f t="shared" si="172"/>
        <v>59.732986111106584</v>
      </c>
      <c r="V1813" s="13" t="str">
        <f t="shared" si="173"/>
        <v>underfunded</v>
      </c>
    </row>
    <row r="1814" spans="1:22" ht="48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8335</v>
      </c>
      <c r="R1814" t="s">
        <v>8336</v>
      </c>
      <c r="S1814" s="14">
        <f t="shared" si="170"/>
        <v>42524.318703703699</v>
      </c>
      <c r="T1814" s="14">
        <f t="shared" si="171"/>
        <v>42554.318703703699</v>
      </c>
      <c r="U1814" s="64">
        <f t="shared" si="172"/>
        <v>30</v>
      </c>
      <c r="V1814" s="13" t="str">
        <f t="shared" si="173"/>
        <v>underfunded</v>
      </c>
    </row>
    <row r="1815" spans="1:22" ht="48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0" t="s">
        <v>8335</v>
      </c>
      <c r="R1815" t="s">
        <v>8336</v>
      </c>
      <c r="S1815" s="14">
        <f t="shared" si="170"/>
        <v>41829.889027777775</v>
      </c>
      <c r="T1815" s="14">
        <f t="shared" si="171"/>
        <v>41859.889027777775</v>
      </c>
      <c r="U1815" s="64">
        <f t="shared" si="172"/>
        <v>30</v>
      </c>
      <c r="V1815" s="13" t="str">
        <f t="shared" si="173"/>
        <v>underfunded</v>
      </c>
    </row>
    <row r="1816" spans="1:22" ht="48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8335</v>
      </c>
      <c r="R1816" t="s">
        <v>8336</v>
      </c>
      <c r="S1816" s="14">
        <f t="shared" si="170"/>
        <v>42033.314074074078</v>
      </c>
      <c r="T1816" s="14">
        <f t="shared" si="171"/>
        <v>42063.314074074078</v>
      </c>
      <c r="U1816" s="64">
        <f t="shared" si="172"/>
        <v>30</v>
      </c>
      <c r="V1816" s="13" t="str">
        <f t="shared" si="173"/>
        <v>underfunded</v>
      </c>
    </row>
    <row r="1817" spans="1:22" ht="48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0" t="s">
        <v>8335</v>
      </c>
      <c r="R1817" t="s">
        <v>8336</v>
      </c>
      <c r="S1817" s="14">
        <f t="shared" si="170"/>
        <v>42172.906678240746</v>
      </c>
      <c r="T1817" s="14">
        <f t="shared" si="171"/>
        <v>42186.906678240746</v>
      </c>
      <c r="U1817" s="64">
        <f t="shared" si="172"/>
        <v>14</v>
      </c>
      <c r="V1817" s="13" t="str">
        <f t="shared" si="173"/>
        <v>underfunded</v>
      </c>
    </row>
    <row r="1818" spans="1:22" ht="48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8335</v>
      </c>
      <c r="R1818" t="s">
        <v>8336</v>
      </c>
      <c r="S1818" s="14">
        <f t="shared" si="170"/>
        <v>42548.876192129625</v>
      </c>
      <c r="T1818" s="14">
        <f t="shared" si="171"/>
        <v>42576.791666666672</v>
      </c>
      <c r="U1818" s="64">
        <f t="shared" si="172"/>
        <v>27.915474537046975</v>
      </c>
      <c r="V1818" s="13" t="str">
        <f t="shared" si="173"/>
        <v>underfunded</v>
      </c>
    </row>
    <row r="1819" spans="1:22" ht="3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8335</v>
      </c>
      <c r="R1819" t="s">
        <v>8336</v>
      </c>
      <c r="S1819" s="14">
        <f t="shared" si="170"/>
        <v>42705.662118055552</v>
      </c>
      <c r="T1819" s="14">
        <f t="shared" si="171"/>
        <v>42765.290972222225</v>
      </c>
      <c r="U1819" s="64">
        <f t="shared" si="172"/>
        <v>59.628854166672681</v>
      </c>
      <c r="V1819" s="13" t="str">
        <f t="shared" si="173"/>
        <v>underfunded</v>
      </c>
    </row>
    <row r="1820" spans="1:22" ht="3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0" t="s">
        <v>8335</v>
      </c>
      <c r="R1820" t="s">
        <v>8336</v>
      </c>
      <c r="S1820" s="14">
        <f t="shared" si="170"/>
        <v>42067.234375</v>
      </c>
      <c r="T1820" s="14">
        <f t="shared" si="171"/>
        <v>42097.192708333328</v>
      </c>
      <c r="U1820" s="64">
        <f t="shared" si="172"/>
        <v>29.958333333328483</v>
      </c>
      <c r="V1820" s="13" t="str">
        <f t="shared" si="173"/>
        <v>underfunded</v>
      </c>
    </row>
    <row r="1821" spans="1:22" ht="48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8335</v>
      </c>
      <c r="R1821" t="s">
        <v>8336</v>
      </c>
      <c r="S1821" s="14">
        <f t="shared" si="170"/>
        <v>41820.752268518518</v>
      </c>
      <c r="T1821" s="14">
        <f t="shared" si="171"/>
        <v>41850.752268518518</v>
      </c>
      <c r="U1821" s="64">
        <f t="shared" si="172"/>
        <v>30</v>
      </c>
      <c r="V1821" s="13" t="str">
        <f t="shared" si="173"/>
        <v>underfunded</v>
      </c>
    </row>
    <row r="1822" spans="1:22" ht="48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8335</v>
      </c>
      <c r="R1822" t="s">
        <v>8336</v>
      </c>
      <c r="S1822" s="14">
        <f t="shared" si="170"/>
        <v>42065.084375000006</v>
      </c>
      <c r="T1822" s="14">
        <f t="shared" si="171"/>
        <v>42095.042708333334</v>
      </c>
      <c r="U1822" s="64">
        <f t="shared" si="172"/>
        <v>29.958333333328483</v>
      </c>
      <c r="V1822" s="13" t="str">
        <f t="shared" si="173"/>
        <v>underfunded</v>
      </c>
    </row>
    <row r="1823" spans="1:22" ht="48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8322</v>
      </c>
      <c r="R1823" t="s">
        <v>8323</v>
      </c>
      <c r="S1823" s="14">
        <f t="shared" si="170"/>
        <v>40926.319062499999</v>
      </c>
      <c r="T1823" s="14">
        <f t="shared" si="171"/>
        <v>40971.319062499999</v>
      </c>
      <c r="U1823" s="64">
        <f t="shared" si="172"/>
        <v>45</v>
      </c>
      <c r="V1823" s="13" t="str">
        <f t="shared" si="173"/>
        <v>funded</v>
      </c>
    </row>
    <row r="1824" spans="1:22" ht="3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8322</v>
      </c>
      <c r="R1824" t="s">
        <v>8323</v>
      </c>
      <c r="S1824" s="14">
        <f t="shared" si="170"/>
        <v>41634.797013888885</v>
      </c>
      <c r="T1824" s="14">
        <f t="shared" si="171"/>
        <v>41670.792361111111</v>
      </c>
      <c r="U1824" s="64">
        <f t="shared" si="172"/>
        <v>35.995347222225973</v>
      </c>
      <c r="V1824" s="13" t="str">
        <f t="shared" si="173"/>
        <v>funded</v>
      </c>
    </row>
    <row r="1825" spans="1:22" ht="48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8322</v>
      </c>
      <c r="R1825" t="s">
        <v>8323</v>
      </c>
      <c r="S1825" s="14">
        <f t="shared" si="170"/>
        <v>41176.684907407405</v>
      </c>
      <c r="T1825" s="14">
        <f t="shared" si="171"/>
        <v>41206.684907407405</v>
      </c>
      <c r="U1825" s="64">
        <f t="shared" si="172"/>
        <v>30</v>
      </c>
      <c r="V1825" s="13" t="str">
        <f t="shared" si="173"/>
        <v>funded</v>
      </c>
    </row>
    <row r="1826" spans="1:22" ht="16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8322</v>
      </c>
      <c r="R1826" t="s">
        <v>8323</v>
      </c>
      <c r="S1826" s="14">
        <f t="shared" si="170"/>
        <v>41626.916284722225</v>
      </c>
      <c r="T1826" s="14">
        <f t="shared" si="171"/>
        <v>41647.088888888888</v>
      </c>
      <c r="U1826" s="64">
        <f t="shared" si="172"/>
        <v>20.172604166662495</v>
      </c>
      <c r="V1826" s="13" t="str">
        <f t="shared" si="173"/>
        <v>funded</v>
      </c>
    </row>
    <row r="1827" spans="1:22" ht="48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8322</v>
      </c>
      <c r="R1827" t="s">
        <v>8323</v>
      </c>
      <c r="S1827" s="14">
        <f t="shared" si="170"/>
        <v>41443.83452546296</v>
      </c>
      <c r="T1827" s="14">
        <f t="shared" si="171"/>
        <v>41466.83452546296</v>
      </c>
      <c r="U1827" s="64">
        <f t="shared" si="172"/>
        <v>23</v>
      </c>
      <c r="V1827" s="13" t="str">
        <f t="shared" si="173"/>
        <v>funded</v>
      </c>
    </row>
    <row r="1828" spans="1:22" ht="16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8322</v>
      </c>
      <c r="R1828" t="s">
        <v>8323</v>
      </c>
      <c r="S1828" s="14">
        <f t="shared" si="170"/>
        <v>41657.923807870371</v>
      </c>
      <c r="T1828" s="14">
        <f t="shared" si="171"/>
        <v>41687.923807870371</v>
      </c>
      <c r="U1828" s="64">
        <f t="shared" si="172"/>
        <v>30</v>
      </c>
      <c r="V1828" s="13" t="str">
        <f t="shared" si="173"/>
        <v>funded</v>
      </c>
    </row>
    <row r="1829" spans="1:22" ht="48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8322</v>
      </c>
      <c r="R1829" t="s">
        <v>8323</v>
      </c>
      <c r="S1829" s="14">
        <f t="shared" si="170"/>
        <v>40555.325937499998</v>
      </c>
      <c r="T1829" s="14">
        <f t="shared" si="171"/>
        <v>40605.325937499998</v>
      </c>
      <c r="U1829" s="64">
        <f t="shared" si="172"/>
        <v>50</v>
      </c>
      <c r="V1829" s="13" t="str">
        <f t="shared" si="173"/>
        <v>funded</v>
      </c>
    </row>
    <row r="1830" spans="1:22" ht="48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8322</v>
      </c>
      <c r="R1830" t="s">
        <v>8323</v>
      </c>
      <c r="S1830" s="14">
        <f t="shared" si="170"/>
        <v>41736.899652777778</v>
      </c>
      <c r="T1830" s="14">
        <f t="shared" si="171"/>
        <v>41768.916666666664</v>
      </c>
      <c r="U1830" s="64">
        <f t="shared" si="172"/>
        <v>32.01701388888614</v>
      </c>
      <c r="V1830" s="13" t="str">
        <f t="shared" si="173"/>
        <v>funded</v>
      </c>
    </row>
    <row r="1831" spans="1:22" ht="48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8322</v>
      </c>
      <c r="R1831" t="s">
        <v>8323</v>
      </c>
      <c r="S1831" s="14">
        <f t="shared" si="170"/>
        <v>40516.087627314817</v>
      </c>
      <c r="T1831" s="14">
        <f t="shared" si="171"/>
        <v>40564.916666666664</v>
      </c>
      <c r="U1831" s="64">
        <f t="shared" si="172"/>
        <v>48.829039351847314</v>
      </c>
      <c r="V1831" s="13" t="str">
        <f t="shared" si="173"/>
        <v>funded</v>
      </c>
    </row>
    <row r="1832" spans="1:22" ht="48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8322</v>
      </c>
      <c r="R1832" t="s">
        <v>8323</v>
      </c>
      <c r="S1832" s="14">
        <f t="shared" si="170"/>
        <v>41664.684108796297</v>
      </c>
      <c r="T1832" s="14">
        <f t="shared" si="171"/>
        <v>41694.684108796297</v>
      </c>
      <c r="U1832" s="64">
        <f t="shared" si="172"/>
        <v>30</v>
      </c>
      <c r="V1832" s="13" t="str">
        <f t="shared" si="173"/>
        <v>funded</v>
      </c>
    </row>
    <row r="1833" spans="1:22" ht="48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8322</v>
      </c>
      <c r="R1833" t="s">
        <v>8323</v>
      </c>
      <c r="S1833" s="14">
        <f t="shared" si="170"/>
        <v>41026.996099537035</v>
      </c>
      <c r="T1833" s="14">
        <f t="shared" si="171"/>
        <v>41041.996099537035</v>
      </c>
      <c r="U1833" s="64">
        <f t="shared" si="172"/>
        <v>15</v>
      </c>
      <c r="V1833" s="13" t="str">
        <f t="shared" si="173"/>
        <v>funded</v>
      </c>
    </row>
    <row r="1834" spans="1:22" ht="48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8322</v>
      </c>
      <c r="R1834" t="s">
        <v>8323</v>
      </c>
      <c r="S1834" s="14">
        <f t="shared" si="170"/>
        <v>40576.539664351854</v>
      </c>
      <c r="T1834" s="14">
        <f t="shared" si="171"/>
        <v>40606.539664351854</v>
      </c>
      <c r="U1834" s="64">
        <f t="shared" si="172"/>
        <v>30</v>
      </c>
      <c r="V1834" s="13" t="str">
        <f t="shared" si="173"/>
        <v>funded</v>
      </c>
    </row>
    <row r="1835" spans="1:22" ht="48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8322</v>
      </c>
      <c r="R1835" t="s">
        <v>8323</v>
      </c>
      <c r="S1835" s="14">
        <f t="shared" si="170"/>
        <v>41303.044016203705</v>
      </c>
      <c r="T1835" s="14">
        <f t="shared" si="171"/>
        <v>41335.332638888889</v>
      </c>
      <c r="U1835" s="64">
        <f t="shared" si="172"/>
        <v>32.288622685184237</v>
      </c>
      <c r="V1835" s="13" t="str">
        <f t="shared" si="173"/>
        <v>funded</v>
      </c>
    </row>
    <row r="1836" spans="1:22" ht="3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8322</v>
      </c>
      <c r="R1836" t="s">
        <v>8323</v>
      </c>
      <c r="S1836" s="14">
        <f t="shared" si="170"/>
        <v>41988.964062500003</v>
      </c>
      <c r="T1836" s="14">
        <f t="shared" si="171"/>
        <v>42028.964062500003</v>
      </c>
      <c r="U1836" s="64">
        <f t="shared" si="172"/>
        <v>40</v>
      </c>
      <c r="V1836" s="13" t="str">
        <f t="shared" si="173"/>
        <v>funded</v>
      </c>
    </row>
    <row r="1837" spans="1:22" ht="6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8322</v>
      </c>
      <c r="R1837" t="s">
        <v>8323</v>
      </c>
      <c r="S1837" s="14">
        <f t="shared" si="170"/>
        <v>42430.702210648145</v>
      </c>
      <c r="T1837" s="14">
        <f t="shared" si="171"/>
        <v>42460.660543981481</v>
      </c>
      <c r="U1837" s="64">
        <f t="shared" si="172"/>
        <v>29.958333333335759</v>
      </c>
      <c r="V1837" s="13" t="str">
        <f t="shared" si="173"/>
        <v>funded</v>
      </c>
    </row>
    <row r="1838" spans="1:22" ht="16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8322</v>
      </c>
      <c r="R1838" t="s">
        <v>8323</v>
      </c>
      <c r="S1838" s="14">
        <f t="shared" si="170"/>
        <v>41305.809363425928</v>
      </c>
      <c r="T1838" s="14">
        <f t="shared" si="171"/>
        <v>41322.809363425928</v>
      </c>
      <c r="U1838" s="64">
        <f t="shared" si="172"/>
        <v>17</v>
      </c>
      <c r="V1838" s="13" t="str">
        <f t="shared" si="173"/>
        <v>funded</v>
      </c>
    </row>
    <row r="1839" spans="1:22" ht="48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8322</v>
      </c>
      <c r="R1839" t="s">
        <v>8323</v>
      </c>
      <c r="S1839" s="14">
        <f t="shared" si="170"/>
        <v>40926.047858796301</v>
      </c>
      <c r="T1839" s="14">
        <f t="shared" si="171"/>
        <v>40986.006192129629</v>
      </c>
      <c r="U1839" s="64">
        <f t="shared" si="172"/>
        <v>59.958333333328483</v>
      </c>
      <c r="V1839" s="13" t="str">
        <f t="shared" si="173"/>
        <v>funded</v>
      </c>
    </row>
    <row r="1840" spans="1:22" ht="48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8322</v>
      </c>
      <c r="R1840" t="s">
        <v>8323</v>
      </c>
      <c r="S1840" s="14">
        <f t="shared" si="170"/>
        <v>40788.786539351851</v>
      </c>
      <c r="T1840" s="14">
        <f t="shared" si="171"/>
        <v>40817.125</v>
      </c>
      <c r="U1840" s="64">
        <f t="shared" si="172"/>
        <v>28.338460648148612</v>
      </c>
      <c r="V1840" s="13" t="str">
        <f t="shared" si="173"/>
        <v>funded</v>
      </c>
    </row>
    <row r="1841" spans="1:22" ht="48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8322</v>
      </c>
      <c r="R1841" t="s">
        <v>8323</v>
      </c>
      <c r="S1841" s="14">
        <f t="shared" si="170"/>
        <v>42614.722013888888</v>
      </c>
      <c r="T1841" s="14">
        <f t="shared" si="171"/>
        <v>42644.722013888888</v>
      </c>
      <c r="U1841" s="64">
        <f t="shared" si="172"/>
        <v>30</v>
      </c>
      <c r="V1841" s="13" t="str">
        <f t="shared" si="173"/>
        <v>funded</v>
      </c>
    </row>
    <row r="1842" spans="1:22" ht="48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8322</v>
      </c>
      <c r="R1842" t="s">
        <v>8323</v>
      </c>
      <c r="S1842" s="14">
        <f t="shared" si="170"/>
        <v>41382.096180555556</v>
      </c>
      <c r="T1842" s="14">
        <f t="shared" si="171"/>
        <v>41401.207638888889</v>
      </c>
      <c r="U1842" s="64">
        <f t="shared" si="172"/>
        <v>19.111458333332848</v>
      </c>
      <c r="V1842" s="13" t="str">
        <f t="shared" si="173"/>
        <v>funded</v>
      </c>
    </row>
    <row r="1843" spans="1:22" ht="3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8322</v>
      </c>
      <c r="R1843" t="s">
        <v>8323</v>
      </c>
      <c r="S1843" s="14">
        <f t="shared" si="170"/>
        <v>41745.84542824074</v>
      </c>
      <c r="T1843" s="14">
        <f t="shared" si="171"/>
        <v>41779.207638888889</v>
      </c>
      <c r="U1843" s="64">
        <f t="shared" si="172"/>
        <v>33.362210648148903</v>
      </c>
      <c r="V1843" s="13" t="str">
        <f t="shared" si="173"/>
        <v>funded</v>
      </c>
    </row>
    <row r="1844" spans="1:22" ht="48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8322</v>
      </c>
      <c r="R1844" t="s">
        <v>8323</v>
      </c>
      <c r="S1844" s="14">
        <f t="shared" si="170"/>
        <v>42031.631724537037</v>
      </c>
      <c r="T1844" s="14">
        <f t="shared" si="171"/>
        <v>42065.249305555553</v>
      </c>
      <c r="U1844" s="64">
        <f t="shared" si="172"/>
        <v>33.617581018515921</v>
      </c>
      <c r="V1844" s="13" t="str">
        <f t="shared" si="173"/>
        <v>funded</v>
      </c>
    </row>
    <row r="1845" spans="1:22" ht="48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8322</v>
      </c>
      <c r="R1845" t="s">
        <v>8323</v>
      </c>
      <c r="S1845" s="14">
        <f t="shared" si="170"/>
        <v>40564.994837962964</v>
      </c>
      <c r="T1845" s="14">
        <f t="shared" si="171"/>
        <v>40594.994837962964</v>
      </c>
      <c r="U1845" s="64">
        <f t="shared" si="172"/>
        <v>30</v>
      </c>
      <c r="V1845" s="13" t="str">
        <f t="shared" si="173"/>
        <v>funded</v>
      </c>
    </row>
    <row r="1846" spans="1:22" ht="48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8322</v>
      </c>
      <c r="R1846" t="s">
        <v>8323</v>
      </c>
      <c r="S1846" s="14">
        <f t="shared" si="170"/>
        <v>40666.973541666666</v>
      </c>
      <c r="T1846" s="14">
        <f t="shared" si="171"/>
        <v>40705.125</v>
      </c>
      <c r="U1846" s="64">
        <f t="shared" si="172"/>
        <v>38.151458333333721</v>
      </c>
      <c r="V1846" s="13" t="str">
        <f t="shared" si="173"/>
        <v>funded</v>
      </c>
    </row>
    <row r="1847" spans="1:22" ht="96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8322</v>
      </c>
      <c r="R1847" t="s">
        <v>8323</v>
      </c>
      <c r="S1847" s="14">
        <f t="shared" si="170"/>
        <v>42523.333310185189</v>
      </c>
      <c r="T1847" s="14">
        <f t="shared" si="171"/>
        <v>42538.204861111109</v>
      </c>
      <c r="U1847" s="64">
        <f t="shared" si="172"/>
        <v>14.871550925920019</v>
      </c>
      <c r="V1847" s="13" t="str">
        <f t="shared" si="173"/>
        <v>funded</v>
      </c>
    </row>
    <row r="1848" spans="1:22" ht="48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8322</v>
      </c>
      <c r="R1848" t="s">
        <v>8323</v>
      </c>
      <c r="S1848" s="14">
        <f t="shared" si="170"/>
        <v>41228.650196759263</v>
      </c>
      <c r="T1848" s="14">
        <f t="shared" si="171"/>
        <v>41258.650196759263</v>
      </c>
      <c r="U1848" s="64">
        <f t="shared" si="172"/>
        <v>30</v>
      </c>
      <c r="V1848" s="13" t="str">
        <f t="shared" si="173"/>
        <v>funded</v>
      </c>
    </row>
    <row r="1849" spans="1:22" ht="48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8322</v>
      </c>
      <c r="R1849" t="s">
        <v>8323</v>
      </c>
      <c r="S1849" s="14">
        <f t="shared" si="170"/>
        <v>42094.236481481479</v>
      </c>
      <c r="T1849" s="14">
        <f t="shared" si="171"/>
        <v>42115.236481481479</v>
      </c>
      <c r="U1849" s="64">
        <f t="shared" si="172"/>
        <v>21</v>
      </c>
      <c r="V1849" s="13" t="str">
        <f t="shared" si="173"/>
        <v>funded</v>
      </c>
    </row>
    <row r="1850" spans="1:22" ht="48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8322</v>
      </c>
      <c r="R1850" t="s">
        <v>8323</v>
      </c>
      <c r="S1850" s="14">
        <f t="shared" si="170"/>
        <v>40691.788055555553</v>
      </c>
      <c r="T1850" s="14">
        <f t="shared" si="171"/>
        <v>40755.290972222225</v>
      </c>
      <c r="U1850" s="64">
        <f t="shared" si="172"/>
        <v>63.502916666671808</v>
      </c>
      <c r="V1850" s="13" t="str">
        <f t="shared" si="173"/>
        <v>funded</v>
      </c>
    </row>
    <row r="1851" spans="1:22" ht="3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8322</v>
      </c>
      <c r="R1851" t="s">
        <v>8323</v>
      </c>
      <c r="S1851" s="14">
        <f t="shared" si="170"/>
        <v>41169.845590277779</v>
      </c>
      <c r="T1851" s="14">
        <f t="shared" si="171"/>
        <v>41199.845590277779</v>
      </c>
      <c r="U1851" s="64">
        <f t="shared" si="172"/>
        <v>30</v>
      </c>
      <c r="V1851" s="13" t="str">
        <f t="shared" si="173"/>
        <v>funded</v>
      </c>
    </row>
    <row r="1852" spans="1:22" ht="48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8322</v>
      </c>
      <c r="R1852" t="s">
        <v>8323</v>
      </c>
      <c r="S1852" s="14">
        <f t="shared" si="170"/>
        <v>41800.959490740745</v>
      </c>
      <c r="T1852" s="14">
        <f t="shared" si="171"/>
        <v>41830.959490740745</v>
      </c>
      <c r="U1852" s="64">
        <f t="shared" si="172"/>
        <v>30</v>
      </c>
      <c r="V1852" s="13" t="str">
        <f t="shared" si="173"/>
        <v>funded</v>
      </c>
    </row>
    <row r="1853" spans="1:22" ht="48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8322</v>
      </c>
      <c r="R1853" t="s">
        <v>8323</v>
      </c>
      <c r="S1853" s="14">
        <f t="shared" si="170"/>
        <v>41827.906689814816</v>
      </c>
      <c r="T1853" s="14">
        <f t="shared" si="171"/>
        <v>41848.041666666664</v>
      </c>
      <c r="U1853" s="64">
        <f t="shared" si="172"/>
        <v>20.134976851848478</v>
      </c>
      <c r="V1853" s="13" t="str">
        <f t="shared" si="173"/>
        <v>funded</v>
      </c>
    </row>
    <row r="1854" spans="1:22" ht="48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8322</v>
      </c>
      <c r="R1854" t="s">
        <v>8323</v>
      </c>
      <c r="S1854" s="14">
        <f t="shared" si="170"/>
        <v>42081.77143518519</v>
      </c>
      <c r="T1854" s="14">
        <f t="shared" si="171"/>
        <v>42119</v>
      </c>
      <c r="U1854" s="64">
        <f t="shared" si="172"/>
        <v>37.228564814809943</v>
      </c>
      <c r="V1854" s="13" t="str">
        <f t="shared" si="173"/>
        <v>funded</v>
      </c>
    </row>
    <row r="1855" spans="1:22" ht="48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8322</v>
      </c>
      <c r="R1855" t="s">
        <v>8323</v>
      </c>
      <c r="S1855" s="14">
        <f t="shared" si="170"/>
        <v>41177.060381944444</v>
      </c>
      <c r="T1855" s="14">
        <f t="shared" si="171"/>
        <v>41227.102048611108</v>
      </c>
      <c r="U1855" s="64">
        <f t="shared" si="172"/>
        <v>50.041666666664241</v>
      </c>
      <c r="V1855" s="13" t="str">
        <f t="shared" si="173"/>
        <v>funded</v>
      </c>
    </row>
    <row r="1856" spans="1:22" ht="48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8322</v>
      </c>
      <c r="R1856" t="s">
        <v>8323</v>
      </c>
      <c r="S1856" s="14">
        <f t="shared" si="170"/>
        <v>41388.021261574075</v>
      </c>
      <c r="T1856" s="14">
        <f t="shared" si="171"/>
        <v>41418.021261574075</v>
      </c>
      <c r="U1856" s="64">
        <f t="shared" si="172"/>
        <v>30</v>
      </c>
      <c r="V1856" s="13" t="str">
        <f t="shared" si="173"/>
        <v>funded</v>
      </c>
    </row>
    <row r="1857" spans="1:22" ht="48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8322</v>
      </c>
      <c r="R1857" t="s">
        <v>8323</v>
      </c>
      <c r="S1857" s="14">
        <f t="shared" si="170"/>
        <v>41600.538657407407</v>
      </c>
      <c r="T1857" s="14">
        <f t="shared" si="171"/>
        <v>41645.538657407407</v>
      </c>
      <c r="U1857" s="64">
        <f t="shared" si="172"/>
        <v>45</v>
      </c>
      <c r="V1857" s="13" t="str">
        <f t="shared" si="173"/>
        <v>funded</v>
      </c>
    </row>
    <row r="1858" spans="1:22" ht="48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>
        <f t="shared" si="169"/>
        <v>53.29</v>
      </c>
      <c r="Q1858" s="10" t="s">
        <v>8322</v>
      </c>
      <c r="R1858" t="s">
        <v>8323</v>
      </c>
      <c r="S1858" s="14">
        <f t="shared" si="170"/>
        <v>41817.854999999996</v>
      </c>
      <c r="T1858" s="14">
        <f t="shared" si="171"/>
        <v>41838.854999999996</v>
      </c>
      <c r="U1858" s="64">
        <f t="shared" si="172"/>
        <v>21</v>
      </c>
      <c r="V1858" s="13" t="str">
        <f t="shared" si="173"/>
        <v>funded</v>
      </c>
    </row>
    <row r="1859" spans="1:22" ht="48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ROUND(E1859/D1859*100,0)</f>
        <v>100</v>
      </c>
      <c r="P1859">
        <f t="shared" ref="P1859:P1922" si="175">IFERROR(ROUND(E1859/L1859,2), 0)</f>
        <v>136.36000000000001</v>
      </c>
      <c r="Q1859" s="10" t="s">
        <v>8322</v>
      </c>
      <c r="R1859" t="s">
        <v>8323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 s="64">
        <f t="shared" ref="U1859:V1922" si="178">T1859-S1859</f>
        <v>30</v>
      </c>
      <c r="V1859" s="13" t="str">
        <f t="shared" ref="V1859:V1922" si="179">IF(E1859&gt;=D1859, "funded", "underfunded")</f>
        <v>funded</v>
      </c>
    </row>
    <row r="1860" spans="1:22" ht="48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8322</v>
      </c>
      <c r="R1860" t="s">
        <v>8323</v>
      </c>
      <c r="S1860" s="14">
        <f t="shared" si="176"/>
        <v>40833.200474537036</v>
      </c>
      <c r="T1860" s="14">
        <f t="shared" si="177"/>
        <v>40893.242141203707</v>
      </c>
      <c r="U1860" s="64">
        <f t="shared" si="178"/>
        <v>60.041666666671517</v>
      </c>
      <c r="V1860" s="13" t="str">
        <f t="shared" si="179"/>
        <v>funded</v>
      </c>
    </row>
    <row r="1861" spans="1:22" ht="3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8322</v>
      </c>
      <c r="R1861" t="s">
        <v>8323</v>
      </c>
      <c r="S1861" s="14">
        <f t="shared" si="176"/>
        <v>40778.770011574074</v>
      </c>
      <c r="T1861" s="14">
        <f t="shared" si="177"/>
        <v>40808.770011574074</v>
      </c>
      <c r="U1861" s="64">
        <f t="shared" si="178"/>
        <v>30</v>
      </c>
      <c r="V1861" s="13" t="str">
        <f t="shared" si="179"/>
        <v>funded</v>
      </c>
    </row>
    <row r="1862" spans="1:22" ht="48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8322</v>
      </c>
      <c r="R1862" t="s">
        <v>8323</v>
      </c>
      <c r="S1862" s="14">
        <f t="shared" si="176"/>
        <v>41655.709305555552</v>
      </c>
      <c r="T1862" s="14">
        <f t="shared" si="177"/>
        <v>41676.709305555552</v>
      </c>
      <c r="U1862" s="64">
        <f t="shared" si="178"/>
        <v>21</v>
      </c>
      <c r="V1862" s="13" t="str">
        <f t="shared" si="179"/>
        <v>funded</v>
      </c>
    </row>
    <row r="1863" spans="1:22" ht="48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0" t="s">
        <v>8330</v>
      </c>
      <c r="R1863" t="s">
        <v>8332</v>
      </c>
      <c r="S1863" s="14">
        <f t="shared" si="176"/>
        <v>42000.300243055557</v>
      </c>
      <c r="T1863" s="14">
        <f t="shared" si="177"/>
        <v>42030.300243055557</v>
      </c>
      <c r="U1863" s="64">
        <f t="shared" si="178"/>
        <v>30</v>
      </c>
      <c r="V1863" s="13" t="str">
        <f t="shared" si="179"/>
        <v>underfunded</v>
      </c>
    </row>
    <row r="1864" spans="1:22" ht="48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8330</v>
      </c>
      <c r="R1864" t="s">
        <v>8332</v>
      </c>
      <c r="S1864" s="14">
        <f t="shared" si="176"/>
        <v>42755.492754629624</v>
      </c>
      <c r="T1864" s="14">
        <f t="shared" si="177"/>
        <v>42802.3125</v>
      </c>
      <c r="U1864" s="64">
        <f t="shared" si="178"/>
        <v>46.81974537037604</v>
      </c>
      <c r="V1864" s="13" t="str">
        <f t="shared" si="179"/>
        <v>underfunded</v>
      </c>
    </row>
    <row r="1865" spans="1:22" ht="48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0" t="s">
        <v>8330</v>
      </c>
      <c r="R1865" t="s">
        <v>8332</v>
      </c>
      <c r="S1865" s="14">
        <f t="shared" si="176"/>
        <v>41772.797280092593</v>
      </c>
      <c r="T1865" s="14">
        <f t="shared" si="177"/>
        <v>41802.797280092593</v>
      </c>
      <c r="U1865" s="64">
        <f t="shared" si="178"/>
        <v>30</v>
      </c>
      <c r="V1865" s="13" t="str">
        <f t="shared" si="179"/>
        <v>underfunded</v>
      </c>
    </row>
    <row r="1866" spans="1:22" ht="48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8330</v>
      </c>
      <c r="R1866" t="s">
        <v>8332</v>
      </c>
      <c r="S1866" s="14">
        <f t="shared" si="176"/>
        <v>41733.716435185182</v>
      </c>
      <c r="T1866" s="14">
        <f t="shared" si="177"/>
        <v>41763.716435185182</v>
      </c>
      <c r="U1866" s="64">
        <f t="shared" si="178"/>
        <v>30</v>
      </c>
      <c r="V1866" s="13" t="str">
        <f t="shared" si="179"/>
        <v>underfunded</v>
      </c>
    </row>
    <row r="1867" spans="1:22" ht="48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0" t="s">
        <v>8330</v>
      </c>
      <c r="R1867" t="s">
        <v>8332</v>
      </c>
      <c r="S1867" s="14">
        <f t="shared" si="176"/>
        <v>42645.367442129631</v>
      </c>
      <c r="T1867" s="14">
        <f t="shared" si="177"/>
        <v>42680.409108796302</v>
      </c>
      <c r="U1867" s="64">
        <f t="shared" si="178"/>
        <v>35.041666666671517</v>
      </c>
      <c r="V1867" s="13" t="str">
        <f t="shared" si="179"/>
        <v>underfunded</v>
      </c>
    </row>
    <row r="1868" spans="1:22" ht="48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8330</v>
      </c>
      <c r="R1868" t="s">
        <v>8332</v>
      </c>
      <c r="S1868" s="14">
        <f t="shared" si="176"/>
        <v>42742.246493055558</v>
      </c>
      <c r="T1868" s="14">
        <f t="shared" si="177"/>
        <v>42795.166666666672</v>
      </c>
      <c r="U1868" s="64">
        <f t="shared" si="178"/>
        <v>52.920173611113569</v>
      </c>
      <c r="V1868" s="13" t="str">
        <f t="shared" si="179"/>
        <v>underfunded</v>
      </c>
    </row>
    <row r="1869" spans="1:22" ht="48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0" t="s">
        <v>8330</v>
      </c>
      <c r="R1869" t="s">
        <v>8332</v>
      </c>
      <c r="S1869" s="14">
        <f t="shared" si="176"/>
        <v>42649.924907407403</v>
      </c>
      <c r="T1869" s="14">
        <f t="shared" si="177"/>
        <v>42679.924907407403</v>
      </c>
      <c r="U1869" s="64">
        <f t="shared" si="178"/>
        <v>30</v>
      </c>
      <c r="V1869" s="13" t="str">
        <f t="shared" si="179"/>
        <v>underfunded</v>
      </c>
    </row>
    <row r="1870" spans="1:22" ht="48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8330</v>
      </c>
      <c r="R1870" t="s">
        <v>8332</v>
      </c>
      <c r="S1870" s="14">
        <f t="shared" si="176"/>
        <v>42328.779224537036</v>
      </c>
      <c r="T1870" s="14">
        <f t="shared" si="177"/>
        <v>42353.332638888889</v>
      </c>
      <c r="U1870" s="64">
        <f t="shared" si="178"/>
        <v>24.553414351852552</v>
      </c>
      <c r="V1870" s="13" t="str">
        <f t="shared" si="179"/>
        <v>underfunded</v>
      </c>
    </row>
    <row r="1871" spans="1:22" ht="48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0" t="s">
        <v>8330</v>
      </c>
      <c r="R1871" t="s">
        <v>8332</v>
      </c>
      <c r="S1871" s="14">
        <f t="shared" si="176"/>
        <v>42709.002881944441</v>
      </c>
      <c r="T1871" s="14">
        <f t="shared" si="177"/>
        <v>42739.002881944441</v>
      </c>
      <c r="U1871" s="64">
        <f t="shared" si="178"/>
        <v>30</v>
      </c>
      <c r="V1871" s="13" t="str">
        <f t="shared" si="179"/>
        <v>underfunded</v>
      </c>
    </row>
    <row r="1872" spans="1:22" ht="48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8330</v>
      </c>
      <c r="R1872" t="s">
        <v>8332</v>
      </c>
      <c r="S1872" s="14">
        <f t="shared" si="176"/>
        <v>42371.355729166666</v>
      </c>
      <c r="T1872" s="14">
        <f t="shared" si="177"/>
        <v>42400.178472222222</v>
      </c>
      <c r="U1872" s="64">
        <f t="shared" si="178"/>
        <v>28.822743055556202</v>
      </c>
      <c r="V1872" s="13" t="str">
        <f t="shared" si="179"/>
        <v>underfunded</v>
      </c>
    </row>
    <row r="1873" spans="1:22" ht="48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8330</v>
      </c>
      <c r="R1873" t="s">
        <v>8332</v>
      </c>
      <c r="S1873" s="14">
        <f t="shared" si="176"/>
        <v>41923.783576388887</v>
      </c>
      <c r="T1873" s="14">
        <f t="shared" si="177"/>
        <v>41963.825243055559</v>
      </c>
      <c r="U1873" s="64">
        <f t="shared" si="178"/>
        <v>40.041666666671517</v>
      </c>
      <c r="V1873" s="13" t="str">
        <f t="shared" si="179"/>
        <v>underfunded</v>
      </c>
    </row>
    <row r="1874" spans="1:22" ht="48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8330</v>
      </c>
      <c r="R1874" t="s">
        <v>8332</v>
      </c>
      <c r="S1874" s="14">
        <f t="shared" si="176"/>
        <v>42155.129652777774</v>
      </c>
      <c r="T1874" s="14">
        <f t="shared" si="177"/>
        <v>42185.129652777774</v>
      </c>
      <c r="U1874" s="64">
        <f t="shared" si="178"/>
        <v>30</v>
      </c>
      <c r="V1874" s="13" t="str">
        <f t="shared" si="179"/>
        <v>underfunded</v>
      </c>
    </row>
    <row r="1875" spans="1:22" ht="48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0" t="s">
        <v>8330</v>
      </c>
      <c r="R1875" t="s">
        <v>8332</v>
      </c>
      <c r="S1875" s="14">
        <f t="shared" si="176"/>
        <v>42164.615856481483</v>
      </c>
      <c r="T1875" s="14">
        <f t="shared" si="177"/>
        <v>42193.697916666672</v>
      </c>
      <c r="U1875" s="64">
        <f t="shared" si="178"/>
        <v>29.082060185188311</v>
      </c>
      <c r="V1875" s="13" t="str">
        <f t="shared" si="179"/>
        <v>underfunded</v>
      </c>
    </row>
    <row r="1876" spans="1:22" ht="48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0" t="s">
        <v>8330</v>
      </c>
      <c r="R1876" t="s">
        <v>8332</v>
      </c>
      <c r="S1876" s="14">
        <f t="shared" si="176"/>
        <v>42529.969131944439</v>
      </c>
      <c r="T1876" s="14">
        <f t="shared" si="177"/>
        <v>42549.969131944439</v>
      </c>
      <c r="U1876" s="64">
        <f t="shared" si="178"/>
        <v>20</v>
      </c>
      <c r="V1876" s="13" t="str">
        <f t="shared" si="179"/>
        <v>underfunded</v>
      </c>
    </row>
    <row r="1877" spans="1:22" ht="3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8330</v>
      </c>
      <c r="R1877" t="s">
        <v>8332</v>
      </c>
      <c r="S1877" s="14">
        <f t="shared" si="176"/>
        <v>42528.899398148147</v>
      </c>
      <c r="T1877" s="14">
        <f t="shared" si="177"/>
        <v>42588.899398148147</v>
      </c>
      <c r="U1877" s="64">
        <f t="shared" si="178"/>
        <v>60</v>
      </c>
      <c r="V1877" s="13" t="str">
        <f t="shared" si="179"/>
        <v>underfunded</v>
      </c>
    </row>
    <row r="1878" spans="1:22" ht="48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0" t="s">
        <v>8330</v>
      </c>
      <c r="R1878" t="s">
        <v>8332</v>
      </c>
      <c r="S1878" s="14">
        <f t="shared" si="176"/>
        <v>41776.284780092588</v>
      </c>
      <c r="T1878" s="14">
        <f t="shared" si="177"/>
        <v>41806.284780092588</v>
      </c>
      <c r="U1878" s="64">
        <f t="shared" si="178"/>
        <v>30</v>
      </c>
      <c r="V1878" s="13" t="str">
        <f t="shared" si="179"/>
        <v>underfunded</v>
      </c>
    </row>
    <row r="1879" spans="1:22" ht="3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0" t="s">
        <v>8330</v>
      </c>
      <c r="R1879" t="s">
        <v>8332</v>
      </c>
      <c r="S1879" s="14">
        <f t="shared" si="176"/>
        <v>42035.029224537036</v>
      </c>
      <c r="T1879" s="14">
        <f t="shared" si="177"/>
        <v>42064.029224537036</v>
      </c>
      <c r="U1879" s="64">
        <f t="shared" si="178"/>
        <v>29</v>
      </c>
      <c r="V1879" s="13" t="str">
        <f t="shared" si="179"/>
        <v>underfunded</v>
      </c>
    </row>
    <row r="1880" spans="1:22" ht="48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0" t="s">
        <v>8330</v>
      </c>
      <c r="R1880" t="s">
        <v>8332</v>
      </c>
      <c r="S1880" s="14">
        <f t="shared" si="176"/>
        <v>41773.008738425924</v>
      </c>
      <c r="T1880" s="14">
        <f t="shared" si="177"/>
        <v>41803.008738425924</v>
      </c>
      <c r="U1880" s="64">
        <f t="shared" si="178"/>
        <v>30</v>
      </c>
      <c r="V1880" s="13" t="str">
        <f t="shared" si="179"/>
        <v>underfunded</v>
      </c>
    </row>
    <row r="1881" spans="1:22" ht="48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0" t="s">
        <v>8330</v>
      </c>
      <c r="R1881" t="s">
        <v>8332</v>
      </c>
      <c r="S1881" s="14">
        <f t="shared" si="176"/>
        <v>42413.649641203709</v>
      </c>
      <c r="T1881" s="14">
        <f t="shared" si="177"/>
        <v>42443.607974537037</v>
      </c>
      <c r="U1881" s="64">
        <f t="shared" si="178"/>
        <v>29.958333333328483</v>
      </c>
      <c r="V1881" s="13" t="str">
        <f t="shared" si="179"/>
        <v>underfunded</v>
      </c>
    </row>
    <row r="1882" spans="1:22" ht="3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8330</v>
      </c>
      <c r="R1882" t="s">
        <v>8332</v>
      </c>
      <c r="S1882" s="14">
        <f t="shared" si="176"/>
        <v>42430.566898148143</v>
      </c>
      <c r="T1882" s="14">
        <f t="shared" si="177"/>
        <v>42459.525231481486</v>
      </c>
      <c r="U1882" s="64">
        <f t="shared" si="178"/>
        <v>28.958333333343035</v>
      </c>
      <c r="V1882" s="13" t="str">
        <f t="shared" si="179"/>
        <v>underfunded</v>
      </c>
    </row>
    <row r="1883" spans="1:22" ht="48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8322</v>
      </c>
      <c r="R1883" t="s">
        <v>8326</v>
      </c>
      <c r="S1883" s="14">
        <f t="shared" si="176"/>
        <v>42043.152650462958</v>
      </c>
      <c r="T1883" s="14">
        <f t="shared" si="177"/>
        <v>42073.110983796301</v>
      </c>
      <c r="U1883" s="64">
        <f t="shared" si="178"/>
        <v>29.958333333343035</v>
      </c>
      <c r="V1883" s="13" t="str">
        <f t="shared" si="179"/>
        <v>funded</v>
      </c>
    </row>
    <row r="1884" spans="1:22" ht="48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8322</v>
      </c>
      <c r="R1884" t="s">
        <v>8326</v>
      </c>
      <c r="S1884" s="14">
        <f t="shared" si="176"/>
        <v>41067.949212962965</v>
      </c>
      <c r="T1884" s="14">
        <f t="shared" si="177"/>
        <v>41100.991666666669</v>
      </c>
      <c r="U1884" s="64">
        <f t="shared" si="178"/>
        <v>33.042453703703359</v>
      </c>
      <c r="V1884" s="13" t="str">
        <f t="shared" si="179"/>
        <v>funded</v>
      </c>
    </row>
    <row r="1885" spans="1:22" ht="48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8322</v>
      </c>
      <c r="R1885" t="s">
        <v>8326</v>
      </c>
      <c r="S1885" s="14">
        <f t="shared" si="176"/>
        <v>40977.948009259257</v>
      </c>
      <c r="T1885" s="14">
        <f t="shared" si="177"/>
        <v>41007.906342592592</v>
      </c>
      <c r="U1885" s="64">
        <f t="shared" si="178"/>
        <v>29.958333333335759</v>
      </c>
      <c r="V1885" s="13" t="str">
        <f t="shared" si="179"/>
        <v>funded</v>
      </c>
    </row>
    <row r="1886" spans="1:22" ht="48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8322</v>
      </c>
      <c r="R1886" t="s">
        <v>8326</v>
      </c>
      <c r="S1886" s="14">
        <f t="shared" si="176"/>
        <v>41205.198321759257</v>
      </c>
      <c r="T1886" s="14">
        <f t="shared" si="177"/>
        <v>41240.5</v>
      </c>
      <c r="U1886" s="64">
        <f t="shared" si="178"/>
        <v>35.301678240743058</v>
      </c>
      <c r="V1886" s="13" t="str">
        <f t="shared" si="179"/>
        <v>funded</v>
      </c>
    </row>
    <row r="1887" spans="1:22" ht="48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8322</v>
      </c>
      <c r="R1887" t="s">
        <v>8326</v>
      </c>
      <c r="S1887" s="14">
        <f t="shared" si="176"/>
        <v>41099.093865740739</v>
      </c>
      <c r="T1887" s="14">
        <f t="shared" si="177"/>
        <v>41131.916666666664</v>
      </c>
      <c r="U1887" s="64">
        <f t="shared" si="178"/>
        <v>32.822800925925549</v>
      </c>
      <c r="V1887" s="13" t="str">
        <f t="shared" si="179"/>
        <v>funded</v>
      </c>
    </row>
    <row r="1888" spans="1:22" ht="48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8322</v>
      </c>
      <c r="R1888" t="s">
        <v>8326</v>
      </c>
      <c r="S1888" s="14">
        <f t="shared" si="176"/>
        <v>41925.906689814816</v>
      </c>
      <c r="T1888" s="14">
        <f t="shared" si="177"/>
        <v>41955.94835648148</v>
      </c>
      <c r="U1888" s="64">
        <f t="shared" si="178"/>
        <v>30.041666666664241</v>
      </c>
      <c r="V1888" s="13" t="str">
        <f t="shared" si="179"/>
        <v>funded</v>
      </c>
    </row>
    <row r="1889" spans="1:22" ht="48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8322</v>
      </c>
      <c r="R1889" t="s">
        <v>8326</v>
      </c>
      <c r="S1889" s="14">
        <f t="shared" si="176"/>
        <v>42323.800138888888</v>
      </c>
      <c r="T1889" s="14">
        <f t="shared" si="177"/>
        <v>42341.895833333328</v>
      </c>
      <c r="U1889" s="64">
        <f t="shared" si="178"/>
        <v>18.095694444440596</v>
      </c>
      <c r="V1889" s="13" t="str">
        <f t="shared" si="179"/>
        <v>funded</v>
      </c>
    </row>
    <row r="1890" spans="1:22" ht="48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8322</v>
      </c>
      <c r="R1890" t="s">
        <v>8326</v>
      </c>
      <c r="S1890" s="14">
        <f t="shared" si="176"/>
        <v>40299.239953703705</v>
      </c>
      <c r="T1890" s="14">
        <f t="shared" si="177"/>
        <v>40330.207638888889</v>
      </c>
      <c r="U1890" s="64">
        <f t="shared" si="178"/>
        <v>30.967685185183655</v>
      </c>
      <c r="V1890" s="13" t="str">
        <f t="shared" si="179"/>
        <v>funded</v>
      </c>
    </row>
    <row r="1891" spans="1:22" ht="48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8322</v>
      </c>
      <c r="R1891" t="s">
        <v>8326</v>
      </c>
      <c r="S1891" s="14">
        <f t="shared" si="176"/>
        <v>41299.793356481481</v>
      </c>
      <c r="T1891" s="14">
        <f t="shared" si="177"/>
        <v>41344.751689814817</v>
      </c>
      <c r="U1891" s="64">
        <f t="shared" si="178"/>
        <v>44.958333333335759</v>
      </c>
      <c r="V1891" s="13" t="str">
        <f t="shared" si="179"/>
        <v>funded</v>
      </c>
    </row>
    <row r="1892" spans="1:22" ht="48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8322</v>
      </c>
      <c r="R1892" t="s">
        <v>8326</v>
      </c>
      <c r="S1892" s="14">
        <f t="shared" si="176"/>
        <v>41228.786203703705</v>
      </c>
      <c r="T1892" s="14">
        <f t="shared" si="177"/>
        <v>41258.786203703705</v>
      </c>
      <c r="U1892" s="64">
        <f t="shared" si="178"/>
        <v>30</v>
      </c>
      <c r="V1892" s="13" t="str">
        <f t="shared" si="179"/>
        <v>funded</v>
      </c>
    </row>
    <row r="1893" spans="1:22" ht="6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8322</v>
      </c>
      <c r="R1893" t="s">
        <v>8326</v>
      </c>
      <c r="S1893" s="14">
        <f t="shared" si="176"/>
        <v>40335.798078703701</v>
      </c>
      <c r="T1893" s="14">
        <f t="shared" si="177"/>
        <v>40381.25</v>
      </c>
      <c r="U1893" s="64">
        <f t="shared" si="178"/>
        <v>45.451921296298678</v>
      </c>
      <c r="V1893" s="13" t="str">
        <f t="shared" si="179"/>
        <v>funded</v>
      </c>
    </row>
    <row r="1894" spans="1:22" ht="3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8322</v>
      </c>
      <c r="R1894" t="s">
        <v>8326</v>
      </c>
      <c r="S1894" s="14">
        <f t="shared" si="176"/>
        <v>40671.637511574074</v>
      </c>
      <c r="T1894" s="14">
        <f t="shared" si="177"/>
        <v>40701.637511574074</v>
      </c>
      <c r="U1894" s="64">
        <f t="shared" si="178"/>
        <v>30</v>
      </c>
      <c r="V1894" s="13" t="str">
        <f t="shared" si="179"/>
        <v>funded</v>
      </c>
    </row>
    <row r="1895" spans="1:22" ht="48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8322</v>
      </c>
      <c r="R1895" t="s">
        <v>8326</v>
      </c>
      <c r="S1895" s="14">
        <f t="shared" si="176"/>
        <v>40632.94195601852</v>
      </c>
      <c r="T1895" s="14">
        <f t="shared" si="177"/>
        <v>40649.165972222225</v>
      </c>
      <c r="U1895" s="64">
        <f t="shared" si="178"/>
        <v>16.224016203705105</v>
      </c>
      <c r="V1895" s="13" t="str">
        <f t="shared" si="179"/>
        <v>funded</v>
      </c>
    </row>
    <row r="1896" spans="1:22" ht="16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8322</v>
      </c>
      <c r="R1896" t="s">
        <v>8326</v>
      </c>
      <c r="S1896" s="14">
        <f t="shared" si="176"/>
        <v>40920.904895833337</v>
      </c>
      <c r="T1896" s="14">
        <f t="shared" si="177"/>
        <v>40951.904895833337</v>
      </c>
      <c r="U1896" s="64">
        <f t="shared" si="178"/>
        <v>31</v>
      </c>
      <c r="V1896" s="13" t="str">
        <f t="shared" si="179"/>
        <v>funded</v>
      </c>
    </row>
    <row r="1897" spans="1:22" ht="48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8322</v>
      </c>
      <c r="R1897" t="s">
        <v>8326</v>
      </c>
      <c r="S1897" s="14">
        <f t="shared" si="176"/>
        <v>42267.746782407412</v>
      </c>
      <c r="T1897" s="14">
        <f t="shared" si="177"/>
        <v>42297.746782407412</v>
      </c>
      <c r="U1897" s="64">
        <f t="shared" si="178"/>
        <v>30</v>
      </c>
      <c r="V1897" s="13" t="str">
        <f t="shared" si="179"/>
        <v>funded</v>
      </c>
    </row>
    <row r="1898" spans="1:22" ht="48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8322</v>
      </c>
      <c r="R1898" t="s">
        <v>8326</v>
      </c>
      <c r="S1898" s="14">
        <f t="shared" si="176"/>
        <v>40981.710243055553</v>
      </c>
      <c r="T1898" s="14">
        <f t="shared" si="177"/>
        <v>41011.710243055553</v>
      </c>
      <c r="U1898" s="64">
        <f t="shared" si="178"/>
        <v>30</v>
      </c>
      <c r="V1898" s="13" t="str">
        <f t="shared" si="179"/>
        <v>funded</v>
      </c>
    </row>
    <row r="1899" spans="1:22" ht="48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8322</v>
      </c>
      <c r="R1899" t="s">
        <v>8326</v>
      </c>
      <c r="S1899" s="14">
        <f t="shared" si="176"/>
        <v>41680.583402777782</v>
      </c>
      <c r="T1899" s="14">
        <f t="shared" si="177"/>
        <v>41702.875</v>
      </c>
      <c r="U1899" s="64">
        <f t="shared" si="178"/>
        <v>22.291597222218115</v>
      </c>
      <c r="V1899" s="13" t="str">
        <f t="shared" si="179"/>
        <v>funded</v>
      </c>
    </row>
    <row r="1900" spans="1:22" ht="48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8322</v>
      </c>
      <c r="R1900" t="s">
        <v>8326</v>
      </c>
      <c r="S1900" s="14">
        <f t="shared" si="176"/>
        <v>42366.192974537036</v>
      </c>
      <c r="T1900" s="14">
        <f t="shared" si="177"/>
        <v>42401.75</v>
      </c>
      <c r="U1900" s="64">
        <f t="shared" si="178"/>
        <v>35.557025462963793</v>
      </c>
      <c r="V1900" s="13" t="str">
        <f t="shared" si="179"/>
        <v>funded</v>
      </c>
    </row>
    <row r="1901" spans="1:22" ht="48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8322</v>
      </c>
      <c r="R1901" t="s">
        <v>8326</v>
      </c>
      <c r="S1901" s="14">
        <f t="shared" si="176"/>
        <v>42058.941736111112</v>
      </c>
      <c r="T1901" s="14">
        <f t="shared" si="177"/>
        <v>42088.90006944444</v>
      </c>
      <c r="U1901" s="64">
        <f t="shared" si="178"/>
        <v>29.958333333328483</v>
      </c>
      <c r="V1901" s="13" t="str">
        <f t="shared" si="179"/>
        <v>funded</v>
      </c>
    </row>
    <row r="1902" spans="1:22" ht="48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8322</v>
      </c>
      <c r="R1902" t="s">
        <v>8326</v>
      </c>
      <c r="S1902" s="14">
        <f t="shared" si="176"/>
        <v>41160.871886574074</v>
      </c>
      <c r="T1902" s="14">
        <f t="shared" si="177"/>
        <v>41188.415972222225</v>
      </c>
      <c r="U1902" s="64">
        <f t="shared" si="178"/>
        <v>27.54408564815094</v>
      </c>
      <c r="V1902" s="13" t="str">
        <f t="shared" si="179"/>
        <v>funded</v>
      </c>
    </row>
    <row r="1903" spans="1:22" ht="48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8316</v>
      </c>
      <c r="R1903" t="s">
        <v>8345</v>
      </c>
      <c r="S1903" s="14">
        <f t="shared" si="176"/>
        <v>42116.54315972222</v>
      </c>
      <c r="T1903" s="14">
        <f t="shared" si="177"/>
        <v>42146.541666666672</v>
      </c>
      <c r="U1903" s="64">
        <f t="shared" si="178"/>
        <v>29.998506944451947</v>
      </c>
      <c r="V1903" s="13" t="str">
        <f t="shared" si="179"/>
        <v>underfunded</v>
      </c>
    </row>
    <row r="1904" spans="1:22" ht="48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8316</v>
      </c>
      <c r="R1904" t="s">
        <v>8345</v>
      </c>
      <c r="S1904" s="14">
        <f t="shared" si="176"/>
        <v>42037.789895833332</v>
      </c>
      <c r="T1904" s="14">
        <f t="shared" si="177"/>
        <v>42067.789895833332</v>
      </c>
      <c r="U1904" s="64">
        <f t="shared" si="178"/>
        <v>30</v>
      </c>
      <c r="V1904" s="13" t="str">
        <f t="shared" si="179"/>
        <v>underfunded</v>
      </c>
    </row>
    <row r="1905" spans="1:22" ht="48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8316</v>
      </c>
      <c r="R1905" t="s">
        <v>8345</v>
      </c>
      <c r="S1905" s="14">
        <f t="shared" si="176"/>
        <v>42702.770729166667</v>
      </c>
      <c r="T1905" s="14">
        <f t="shared" si="177"/>
        <v>42762.770729166667</v>
      </c>
      <c r="U1905" s="64">
        <f t="shared" si="178"/>
        <v>60</v>
      </c>
      <c r="V1905" s="13" t="str">
        <f t="shared" si="179"/>
        <v>underfunded</v>
      </c>
    </row>
    <row r="1906" spans="1:22" ht="48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0" t="s">
        <v>8316</v>
      </c>
      <c r="R1906" t="s">
        <v>8345</v>
      </c>
      <c r="S1906" s="14">
        <f t="shared" si="176"/>
        <v>42326.685428240744</v>
      </c>
      <c r="T1906" s="14">
        <f t="shared" si="177"/>
        <v>42371.685428240744</v>
      </c>
      <c r="U1906" s="64">
        <f t="shared" si="178"/>
        <v>45</v>
      </c>
      <c r="V1906" s="13" t="str">
        <f t="shared" si="179"/>
        <v>underfunded</v>
      </c>
    </row>
    <row r="1907" spans="1:22" ht="48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0" t="s">
        <v>8316</v>
      </c>
      <c r="R1907" t="s">
        <v>8345</v>
      </c>
      <c r="S1907" s="14">
        <f t="shared" si="176"/>
        <v>41859.925856481481</v>
      </c>
      <c r="T1907" s="14">
        <f t="shared" si="177"/>
        <v>41889.925856481481</v>
      </c>
      <c r="U1907" s="64">
        <f t="shared" si="178"/>
        <v>30</v>
      </c>
      <c r="V1907" s="13" t="str">
        <f t="shared" si="179"/>
        <v>underfunded</v>
      </c>
    </row>
    <row r="1908" spans="1:22" ht="48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8316</v>
      </c>
      <c r="R1908" t="s">
        <v>8345</v>
      </c>
      <c r="S1908" s="14">
        <f t="shared" si="176"/>
        <v>42514.671099537038</v>
      </c>
      <c r="T1908" s="14">
        <f t="shared" si="177"/>
        <v>42544.671099537038</v>
      </c>
      <c r="U1908" s="64">
        <f t="shared" si="178"/>
        <v>30</v>
      </c>
      <c r="V1908" s="13" t="str">
        <f t="shared" si="179"/>
        <v>underfunded</v>
      </c>
    </row>
    <row r="1909" spans="1:22" ht="48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0" t="s">
        <v>8316</v>
      </c>
      <c r="R1909" t="s">
        <v>8345</v>
      </c>
      <c r="S1909" s="14">
        <f t="shared" si="176"/>
        <v>41767.587094907409</v>
      </c>
      <c r="T1909" s="14">
        <f t="shared" si="177"/>
        <v>41782.587094907409</v>
      </c>
      <c r="U1909" s="64">
        <f t="shared" si="178"/>
        <v>15</v>
      </c>
      <c r="V1909" s="13" t="str">
        <f t="shared" si="179"/>
        <v>underfunded</v>
      </c>
    </row>
    <row r="1910" spans="1:22" ht="48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8316</v>
      </c>
      <c r="R1910" t="s">
        <v>8345</v>
      </c>
      <c r="S1910" s="14">
        <f t="shared" si="176"/>
        <v>42703.917824074073</v>
      </c>
      <c r="T1910" s="14">
        <f t="shared" si="177"/>
        <v>42733.917824074073</v>
      </c>
      <c r="U1910" s="64">
        <f t="shared" si="178"/>
        <v>30</v>
      </c>
      <c r="V1910" s="13" t="str">
        <f t="shared" si="179"/>
        <v>underfunded</v>
      </c>
    </row>
    <row r="1911" spans="1:22" ht="48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8316</v>
      </c>
      <c r="R1911" t="s">
        <v>8345</v>
      </c>
      <c r="S1911" s="14">
        <f t="shared" si="176"/>
        <v>41905.429155092592</v>
      </c>
      <c r="T1911" s="14">
        <f t="shared" si="177"/>
        <v>41935.429155092592</v>
      </c>
      <c r="U1911" s="64">
        <f t="shared" si="178"/>
        <v>30</v>
      </c>
      <c r="V1911" s="13" t="str">
        <f t="shared" si="179"/>
        <v>underfunded</v>
      </c>
    </row>
    <row r="1912" spans="1:22" ht="48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8316</v>
      </c>
      <c r="R1912" t="s">
        <v>8345</v>
      </c>
      <c r="S1912" s="14">
        <f t="shared" si="176"/>
        <v>42264.963159722218</v>
      </c>
      <c r="T1912" s="14">
        <f t="shared" si="177"/>
        <v>42308.947916666672</v>
      </c>
      <c r="U1912" s="64">
        <f t="shared" si="178"/>
        <v>43.984756944453693</v>
      </c>
      <c r="V1912" s="13" t="str">
        <f t="shared" si="179"/>
        <v>underfunded</v>
      </c>
    </row>
    <row r="1913" spans="1:22" ht="48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0" t="s">
        <v>8316</v>
      </c>
      <c r="R1913" t="s">
        <v>8345</v>
      </c>
      <c r="S1913" s="14">
        <f t="shared" si="176"/>
        <v>41830.033958333333</v>
      </c>
      <c r="T1913" s="14">
        <f t="shared" si="177"/>
        <v>41860.033958333333</v>
      </c>
      <c r="U1913" s="64">
        <f t="shared" si="178"/>
        <v>30</v>
      </c>
      <c r="V1913" s="13" t="str">
        <f t="shared" si="179"/>
        <v>underfunded</v>
      </c>
    </row>
    <row r="1914" spans="1:22" ht="48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8316</v>
      </c>
      <c r="R1914" t="s">
        <v>8345</v>
      </c>
      <c r="S1914" s="14">
        <f t="shared" si="176"/>
        <v>42129.226388888885</v>
      </c>
      <c r="T1914" s="14">
        <f t="shared" si="177"/>
        <v>42159.226388888885</v>
      </c>
      <c r="U1914" s="64">
        <f t="shared" si="178"/>
        <v>30</v>
      </c>
      <c r="V1914" s="13" t="str">
        <f t="shared" si="179"/>
        <v>underfunded</v>
      </c>
    </row>
    <row r="1915" spans="1:22" ht="3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8316</v>
      </c>
      <c r="R1915" t="s">
        <v>8345</v>
      </c>
      <c r="S1915" s="14">
        <f t="shared" si="176"/>
        <v>41890.511319444442</v>
      </c>
      <c r="T1915" s="14">
        <f t="shared" si="177"/>
        <v>41920.511319444442</v>
      </c>
      <c r="U1915" s="64">
        <f t="shared" si="178"/>
        <v>30</v>
      </c>
      <c r="V1915" s="13" t="str">
        <f t="shared" si="179"/>
        <v>underfunded</v>
      </c>
    </row>
    <row r="1916" spans="1:22" ht="48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8316</v>
      </c>
      <c r="R1916" t="s">
        <v>8345</v>
      </c>
      <c r="S1916" s="14">
        <f t="shared" si="176"/>
        <v>41929.174456018518</v>
      </c>
      <c r="T1916" s="14">
        <f t="shared" si="177"/>
        <v>41944.165972222225</v>
      </c>
      <c r="U1916" s="64">
        <f t="shared" si="178"/>
        <v>14.991516203706851</v>
      </c>
      <c r="V1916" s="13" t="str">
        <f t="shared" si="179"/>
        <v>underfunded</v>
      </c>
    </row>
    <row r="1917" spans="1:22" ht="48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8316</v>
      </c>
      <c r="R1917" t="s">
        <v>8345</v>
      </c>
      <c r="S1917" s="14">
        <f t="shared" si="176"/>
        <v>41864.04886574074</v>
      </c>
      <c r="T1917" s="14">
        <f t="shared" si="177"/>
        <v>41884.04886574074</v>
      </c>
      <c r="U1917" s="64">
        <f t="shared" si="178"/>
        <v>20</v>
      </c>
      <c r="V1917" s="13" t="str">
        <f t="shared" si="179"/>
        <v>underfunded</v>
      </c>
    </row>
    <row r="1918" spans="1:22" ht="3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8316</v>
      </c>
      <c r="R1918" t="s">
        <v>8345</v>
      </c>
      <c r="S1918" s="14">
        <f t="shared" si="176"/>
        <v>42656.717303240745</v>
      </c>
      <c r="T1918" s="14">
        <f t="shared" si="177"/>
        <v>42681.758969907409</v>
      </c>
      <c r="U1918" s="64">
        <f t="shared" si="178"/>
        <v>25.041666666664241</v>
      </c>
      <c r="V1918" s="13" t="str">
        <f t="shared" si="179"/>
        <v>underfunded</v>
      </c>
    </row>
    <row r="1919" spans="1:22" ht="3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8316</v>
      </c>
      <c r="R1919" t="s">
        <v>8345</v>
      </c>
      <c r="S1919" s="14">
        <f t="shared" si="176"/>
        <v>42746.270057870366</v>
      </c>
      <c r="T1919" s="14">
        <f t="shared" si="177"/>
        <v>42776.270057870366</v>
      </c>
      <c r="U1919" s="64">
        <f t="shared" si="178"/>
        <v>30</v>
      </c>
      <c r="V1919" s="13" t="str">
        <f t="shared" si="179"/>
        <v>underfunded</v>
      </c>
    </row>
    <row r="1920" spans="1:22" ht="48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8316</v>
      </c>
      <c r="R1920" t="s">
        <v>8345</v>
      </c>
      <c r="S1920" s="14">
        <f t="shared" si="176"/>
        <v>41828.789942129632</v>
      </c>
      <c r="T1920" s="14">
        <f t="shared" si="177"/>
        <v>41863.789942129632</v>
      </c>
      <c r="U1920" s="64">
        <f t="shared" si="178"/>
        <v>35</v>
      </c>
      <c r="V1920" s="13" t="str">
        <f t="shared" si="179"/>
        <v>underfunded</v>
      </c>
    </row>
    <row r="1921" spans="1:22" ht="48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8316</v>
      </c>
      <c r="R1921" t="s">
        <v>8345</v>
      </c>
      <c r="S1921" s="14">
        <f t="shared" si="176"/>
        <v>42113.875567129624</v>
      </c>
      <c r="T1921" s="14">
        <f t="shared" si="177"/>
        <v>42143.875567129624</v>
      </c>
      <c r="U1921" s="64">
        <f t="shared" si="178"/>
        <v>30</v>
      </c>
      <c r="V1921" s="13" t="str">
        <f t="shared" si="179"/>
        <v>underfunded</v>
      </c>
    </row>
    <row r="1922" spans="1:22" ht="48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>
        <f t="shared" si="175"/>
        <v>40.98</v>
      </c>
      <c r="Q1922" s="10" t="s">
        <v>8316</v>
      </c>
      <c r="R1922" t="s">
        <v>8345</v>
      </c>
      <c r="S1922" s="14">
        <f t="shared" si="176"/>
        <v>42270.875706018516</v>
      </c>
      <c r="T1922" s="14">
        <f t="shared" si="177"/>
        <v>42298.958333333328</v>
      </c>
      <c r="U1922" s="64">
        <f t="shared" si="178"/>
        <v>28.082627314812271</v>
      </c>
      <c r="V1922" s="13" t="str">
        <f t="shared" si="179"/>
        <v>underfunded</v>
      </c>
    </row>
    <row r="1923" spans="1:22" ht="3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ROUND(E1923/D1923*100,0)</f>
        <v>137</v>
      </c>
      <c r="P1923">
        <f t="shared" ref="P1923:P1986" si="181">IFERROR(ROUND(E1923/L1923,2), 0)</f>
        <v>54</v>
      </c>
      <c r="Q1923" s="10" t="s">
        <v>8322</v>
      </c>
      <c r="R1923" t="s">
        <v>8326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 s="64">
        <f t="shared" ref="U1923:V1986" si="184">T1923-S1923</f>
        <v>30</v>
      </c>
      <c r="V1923" s="13" t="str">
        <f t="shared" ref="V1923:V1986" si="185">IF(E1923&gt;=D1923, "funded", "underfunded")</f>
        <v>funded</v>
      </c>
    </row>
    <row r="1924" spans="1:22" ht="48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8322</v>
      </c>
      <c r="R1924" t="s">
        <v>8326</v>
      </c>
      <c r="S1924" s="14">
        <f t="shared" si="182"/>
        <v>41590.255868055552</v>
      </c>
      <c r="T1924" s="14">
        <f t="shared" si="183"/>
        <v>41620.255868055552</v>
      </c>
      <c r="U1924" s="64">
        <f t="shared" si="184"/>
        <v>30</v>
      </c>
      <c r="V1924" s="13" t="str">
        <f t="shared" si="185"/>
        <v>funded</v>
      </c>
    </row>
    <row r="1925" spans="1:22" ht="48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8322</v>
      </c>
      <c r="R1925" t="s">
        <v>8326</v>
      </c>
      <c r="S1925" s="14">
        <f t="shared" si="182"/>
        <v>40772.848749999997</v>
      </c>
      <c r="T1925" s="14">
        <f t="shared" si="183"/>
        <v>40813.207638888889</v>
      </c>
      <c r="U1925" s="64">
        <f t="shared" si="184"/>
        <v>40.35888888889167</v>
      </c>
      <c r="V1925" s="13" t="str">
        <f t="shared" si="185"/>
        <v>funded</v>
      </c>
    </row>
    <row r="1926" spans="1:22" ht="48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8322</v>
      </c>
      <c r="R1926" t="s">
        <v>8326</v>
      </c>
      <c r="S1926" s="14">
        <f t="shared" si="182"/>
        <v>41626.761053240742</v>
      </c>
      <c r="T1926" s="14">
        <f t="shared" si="183"/>
        <v>41654.814583333333</v>
      </c>
      <c r="U1926" s="64">
        <f t="shared" si="184"/>
        <v>28.053530092591245</v>
      </c>
      <c r="V1926" s="13" t="str">
        <f t="shared" si="185"/>
        <v>funded</v>
      </c>
    </row>
    <row r="1927" spans="1:22" ht="3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8322</v>
      </c>
      <c r="R1927" t="s">
        <v>8326</v>
      </c>
      <c r="S1927" s="14">
        <f t="shared" si="182"/>
        <v>41535.90148148148</v>
      </c>
      <c r="T1927" s="14">
        <f t="shared" si="183"/>
        <v>41558</v>
      </c>
      <c r="U1927" s="64">
        <f t="shared" si="184"/>
        <v>22.098518518519995</v>
      </c>
      <c r="V1927" s="13" t="str">
        <f t="shared" si="185"/>
        <v>funded</v>
      </c>
    </row>
    <row r="1928" spans="1:22" ht="6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8322</v>
      </c>
      <c r="R1928" t="s">
        <v>8326</v>
      </c>
      <c r="S1928" s="14">
        <f t="shared" si="182"/>
        <v>40456.954351851848</v>
      </c>
      <c r="T1928" s="14">
        <f t="shared" si="183"/>
        <v>40484.018055555556</v>
      </c>
      <c r="U1928" s="64">
        <f t="shared" si="184"/>
        <v>27.063703703708597</v>
      </c>
      <c r="V1928" s="13" t="str">
        <f t="shared" si="185"/>
        <v>funded</v>
      </c>
    </row>
    <row r="1929" spans="1:22" ht="16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8322</v>
      </c>
      <c r="R1929" t="s">
        <v>8326</v>
      </c>
      <c r="S1929" s="14">
        <f t="shared" si="182"/>
        <v>40960.861562500002</v>
      </c>
      <c r="T1929" s="14">
        <f t="shared" si="183"/>
        <v>40976.207638888889</v>
      </c>
      <c r="U1929" s="64">
        <f t="shared" si="184"/>
        <v>15.346076388887013</v>
      </c>
      <c r="V1929" s="13" t="str">
        <f t="shared" si="185"/>
        <v>funded</v>
      </c>
    </row>
    <row r="1930" spans="1:22" ht="3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8322</v>
      </c>
      <c r="R1930" t="s">
        <v>8326</v>
      </c>
      <c r="S1930" s="14">
        <f t="shared" si="182"/>
        <v>41371.648078703707</v>
      </c>
      <c r="T1930" s="14">
        <f t="shared" si="183"/>
        <v>41401.648078703707</v>
      </c>
      <c r="U1930" s="64">
        <f t="shared" si="184"/>
        <v>30</v>
      </c>
      <c r="V1930" s="13" t="str">
        <f t="shared" si="185"/>
        <v>funded</v>
      </c>
    </row>
    <row r="1931" spans="1:22" ht="48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8322</v>
      </c>
      <c r="R1931" t="s">
        <v>8326</v>
      </c>
      <c r="S1931" s="14">
        <f t="shared" si="182"/>
        <v>40687.021597222221</v>
      </c>
      <c r="T1931" s="14">
        <f t="shared" si="183"/>
        <v>40729.021597222221</v>
      </c>
      <c r="U1931" s="64">
        <f t="shared" si="184"/>
        <v>42</v>
      </c>
      <c r="V1931" s="13" t="str">
        <f t="shared" si="185"/>
        <v>funded</v>
      </c>
    </row>
    <row r="1932" spans="1:22" ht="3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8322</v>
      </c>
      <c r="R1932" t="s">
        <v>8326</v>
      </c>
      <c r="S1932" s="14">
        <f t="shared" si="182"/>
        <v>41402.558819444443</v>
      </c>
      <c r="T1932" s="14">
        <f t="shared" si="183"/>
        <v>41462.558819444443</v>
      </c>
      <c r="U1932" s="64">
        <f t="shared" si="184"/>
        <v>60</v>
      </c>
      <c r="V1932" s="13" t="str">
        <f t="shared" si="185"/>
        <v>funded</v>
      </c>
    </row>
    <row r="1933" spans="1:22" ht="3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8322</v>
      </c>
      <c r="R1933" t="s">
        <v>8326</v>
      </c>
      <c r="S1933" s="14">
        <f t="shared" si="182"/>
        <v>41037.892465277779</v>
      </c>
      <c r="T1933" s="14">
        <f t="shared" si="183"/>
        <v>41051.145833333336</v>
      </c>
      <c r="U1933" s="64">
        <f t="shared" si="184"/>
        <v>13.253368055557075</v>
      </c>
      <c r="V1933" s="13" t="str">
        <f t="shared" si="185"/>
        <v>funded</v>
      </c>
    </row>
    <row r="1934" spans="1:22" ht="48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8322</v>
      </c>
      <c r="R1934" t="s">
        <v>8326</v>
      </c>
      <c r="S1934" s="14">
        <f t="shared" si="182"/>
        <v>40911.809872685182</v>
      </c>
      <c r="T1934" s="14">
        <f t="shared" si="183"/>
        <v>40932.809872685182</v>
      </c>
      <c r="U1934" s="64">
        <f t="shared" si="184"/>
        <v>21</v>
      </c>
      <c r="V1934" s="13" t="str">
        <f t="shared" si="185"/>
        <v>funded</v>
      </c>
    </row>
    <row r="1935" spans="1:22" ht="48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8322</v>
      </c>
      <c r="R1935" t="s">
        <v>8326</v>
      </c>
      <c r="S1935" s="14">
        <f t="shared" si="182"/>
        <v>41879.130868055552</v>
      </c>
      <c r="T1935" s="14">
        <f t="shared" si="183"/>
        <v>41909.130868055552</v>
      </c>
      <c r="U1935" s="64">
        <f t="shared" si="184"/>
        <v>30</v>
      </c>
      <c r="V1935" s="13" t="str">
        <f t="shared" si="185"/>
        <v>funded</v>
      </c>
    </row>
    <row r="1936" spans="1:22" ht="48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8322</v>
      </c>
      <c r="R1936" t="s">
        <v>8326</v>
      </c>
      <c r="S1936" s="14">
        <f t="shared" si="182"/>
        <v>40865.867141203707</v>
      </c>
      <c r="T1936" s="14">
        <f t="shared" si="183"/>
        <v>40902.208333333336</v>
      </c>
      <c r="U1936" s="64">
        <f t="shared" si="184"/>
        <v>36.341192129628325</v>
      </c>
      <c r="V1936" s="13" t="str">
        <f t="shared" si="185"/>
        <v>funded</v>
      </c>
    </row>
    <row r="1937" spans="1:22" ht="48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8322</v>
      </c>
      <c r="R1937" t="s">
        <v>8326</v>
      </c>
      <c r="S1937" s="14">
        <f t="shared" si="182"/>
        <v>41773.932534722226</v>
      </c>
      <c r="T1937" s="14">
        <f t="shared" si="183"/>
        <v>41811.207638888889</v>
      </c>
      <c r="U1937" s="64">
        <f t="shared" si="184"/>
        <v>37.275104166663368</v>
      </c>
      <c r="V1937" s="13" t="str">
        <f t="shared" si="185"/>
        <v>funded</v>
      </c>
    </row>
    <row r="1938" spans="1:22" ht="48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8322</v>
      </c>
      <c r="R1938" t="s">
        <v>8326</v>
      </c>
      <c r="S1938" s="14">
        <f t="shared" si="182"/>
        <v>40852.889699074076</v>
      </c>
      <c r="T1938" s="14">
        <f t="shared" si="183"/>
        <v>40883.249305555553</v>
      </c>
      <c r="U1938" s="64">
        <f t="shared" si="184"/>
        <v>30.359606481477385</v>
      </c>
      <c r="V1938" s="13" t="str">
        <f t="shared" si="185"/>
        <v>funded</v>
      </c>
    </row>
    <row r="1939" spans="1:22" ht="48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8322</v>
      </c>
      <c r="R1939" t="s">
        <v>8326</v>
      </c>
      <c r="S1939" s="14">
        <f t="shared" si="182"/>
        <v>41059.118993055556</v>
      </c>
      <c r="T1939" s="14">
        <f t="shared" si="183"/>
        <v>41075.165972222225</v>
      </c>
      <c r="U1939" s="64">
        <f t="shared" si="184"/>
        <v>16.046979166669189</v>
      </c>
      <c r="V1939" s="13" t="str">
        <f t="shared" si="185"/>
        <v>funded</v>
      </c>
    </row>
    <row r="1940" spans="1:22" ht="48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8322</v>
      </c>
      <c r="R1940" t="s">
        <v>8326</v>
      </c>
      <c r="S1940" s="14">
        <f t="shared" si="182"/>
        <v>41426.259618055556</v>
      </c>
      <c r="T1940" s="14">
        <f t="shared" si="183"/>
        <v>41457.208333333336</v>
      </c>
      <c r="U1940" s="64">
        <f t="shared" si="184"/>
        <v>30.948715277780138</v>
      </c>
      <c r="V1940" s="13" t="str">
        <f t="shared" si="185"/>
        <v>funded</v>
      </c>
    </row>
    <row r="1941" spans="1:22" ht="48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8322</v>
      </c>
      <c r="R1941" t="s">
        <v>8326</v>
      </c>
      <c r="S1941" s="14">
        <f t="shared" si="182"/>
        <v>41313.985046296293</v>
      </c>
      <c r="T1941" s="14">
        <f t="shared" si="183"/>
        <v>41343.943379629629</v>
      </c>
      <c r="U1941" s="64">
        <f t="shared" si="184"/>
        <v>29.958333333335759</v>
      </c>
      <c r="V1941" s="13" t="str">
        <f t="shared" si="185"/>
        <v>funded</v>
      </c>
    </row>
    <row r="1942" spans="1:22" ht="48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8322</v>
      </c>
      <c r="R1942" t="s">
        <v>8326</v>
      </c>
      <c r="S1942" s="14">
        <f t="shared" si="182"/>
        <v>40670.507326388892</v>
      </c>
      <c r="T1942" s="14">
        <f t="shared" si="183"/>
        <v>40709.165972222225</v>
      </c>
      <c r="U1942" s="64">
        <f t="shared" si="184"/>
        <v>38.658645833333139</v>
      </c>
      <c r="V1942" s="13" t="str">
        <f t="shared" si="185"/>
        <v>funded</v>
      </c>
    </row>
    <row r="1943" spans="1:22" ht="48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8316</v>
      </c>
      <c r="R1943" t="s">
        <v>8346</v>
      </c>
      <c r="S1943" s="14">
        <f t="shared" si="182"/>
        <v>41744.290868055556</v>
      </c>
      <c r="T1943" s="14">
        <f t="shared" si="183"/>
        <v>41774.290868055556</v>
      </c>
      <c r="U1943" s="64">
        <f t="shared" si="184"/>
        <v>30</v>
      </c>
      <c r="V1943" s="13" t="str">
        <f t="shared" si="185"/>
        <v>funded</v>
      </c>
    </row>
    <row r="1944" spans="1:22" ht="48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8316</v>
      </c>
      <c r="R1944" t="s">
        <v>8346</v>
      </c>
      <c r="S1944" s="14">
        <f t="shared" si="182"/>
        <v>40638.828009259261</v>
      </c>
      <c r="T1944" s="14">
        <f t="shared" si="183"/>
        <v>40728.828009259261</v>
      </c>
      <c r="U1944" s="64">
        <f t="shared" si="184"/>
        <v>90</v>
      </c>
      <c r="V1944" s="13" t="str">
        <f t="shared" si="185"/>
        <v>funded</v>
      </c>
    </row>
    <row r="1945" spans="1:22" ht="48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8316</v>
      </c>
      <c r="R1945" t="s">
        <v>8346</v>
      </c>
      <c r="S1945" s="14">
        <f t="shared" si="182"/>
        <v>42548.269861111112</v>
      </c>
      <c r="T1945" s="14">
        <f t="shared" si="183"/>
        <v>42593.269861111112</v>
      </c>
      <c r="U1945" s="64">
        <f t="shared" si="184"/>
        <v>45</v>
      </c>
      <c r="V1945" s="13" t="str">
        <f t="shared" si="185"/>
        <v>funded</v>
      </c>
    </row>
    <row r="1946" spans="1:22" ht="48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8316</v>
      </c>
      <c r="R1946" t="s">
        <v>8346</v>
      </c>
      <c r="S1946" s="14">
        <f t="shared" si="182"/>
        <v>41730.584374999999</v>
      </c>
      <c r="T1946" s="14">
        <f t="shared" si="183"/>
        <v>41760.584374999999</v>
      </c>
      <c r="U1946" s="64">
        <f t="shared" si="184"/>
        <v>30</v>
      </c>
      <c r="V1946" s="13" t="str">
        <f t="shared" si="185"/>
        <v>funded</v>
      </c>
    </row>
    <row r="1947" spans="1:22" ht="48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8316</v>
      </c>
      <c r="R1947" t="s">
        <v>8346</v>
      </c>
      <c r="S1947" s="14">
        <f t="shared" si="182"/>
        <v>42157.251828703709</v>
      </c>
      <c r="T1947" s="14">
        <f t="shared" si="183"/>
        <v>42197.251828703709</v>
      </c>
      <c r="U1947" s="64">
        <f t="shared" si="184"/>
        <v>40</v>
      </c>
      <c r="V1947" s="13" t="str">
        <f t="shared" si="185"/>
        <v>funded</v>
      </c>
    </row>
    <row r="1948" spans="1:22" ht="48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8316</v>
      </c>
      <c r="R1948" t="s">
        <v>8346</v>
      </c>
      <c r="S1948" s="14">
        <f t="shared" si="182"/>
        <v>41689.150011574071</v>
      </c>
      <c r="T1948" s="14">
        <f t="shared" si="183"/>
        <v>41749.108344907407</v>
      </c>
      <c r="U1948" s="64">
        <f t="shared" si="184"/>
        <v>59.958333333335759</v>
      </c>
      <c r="V1948" s="13" t="str">
        <f t="shared" si="185"/>
        <v>funded</v>
      </c>
    </row>
    <row r="1949" spans="1:22" ht="48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8316</v>
      </c>
      <c r="R1949" t="s">
        <v>8346</v>
      </c>
      <c r="S1949" s="14">
        <f t="shared" si="182"/>
        <v>40102.918055555558</v>
      </c>
      <c r="T1949" s="14">
        <f t="shared" si="183"/>
        <v>40140.249305555553</v>
      </c>
      <c r="U1949" s="64">
        <f t="shared" si="184"/>
        <v>37.331249999995634</v>
      </c>
      <c r="V1949" s="13" t="str">
        <f t="shared" si="185"/>
        <v>funded</v>
      </c>
    </row>
    <row r="1950" spans="1:22" ht="3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8316</v>
      </c>
      <c r="R1950" t="s">
        <v>8346</v>
      </c>
      <c r="S1950" s="14">
        <f t="shared" si="182"/>
        <v>42473.604270833333</v>
      </c>
      <c r="T1950" s="14">
        <f t="shared" si="183"/>
        <v>42527.709722222222</v>
      </c>
      <c r="U1950" s="64">
        <f t="shared" si="184"/>
        <v>54.105451388888469</v>
      </c>
      <c r="V1950" s="13" t="str">
        <f t="shared" si="185"/>
        <v>funded</v>
      </c>
    </row>
    <row r="1951" spans="1:22" ht="48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8316</v>
      </c>
      <c r="R1951" t="s">
        <v>8346</v>
      </c>
      <c r="S1951" s="14">
        <f t="shared" si="182"/>
        <v>41800.423043981478</v>
      </c>
      <c r="T1951" s="14">
        <f t="shared" si="183"/>
        <v>41830.423043981478</v>
      </c>
      <c r="U1951" s="64">
        <f t="shared" si="184"/>
        <v>30</v>
      </c>
      <c r="V1951" s="13" t="str">
        <f t="shared" si="185"/>
        <v>funded</v>
      </c>
    </row>
    <row r="1952" spans="1:22" ht="48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8316</v>
      </c>
      <c r="R1952" t="s">
        <v>8346</v>
      </c>
      <c r="S1952" s="14">
        <f t="shared" si="182"/>
        <v>40624.181400462963</v>
      </c>
      <c r="T1952" s="14">
        <f t="shared" si="183"/>
        <v>40655.181400462963</v>
      </c>
      <c r="U1952" s="64">
        <f t="shared" si="184"/>
        <v>31</v>
      </c>
      <c r="V1952" s="13" t="str">
        <f t="shared" si="185"/>
        <v>funded</v>
      </c>
    </row>
    <row r="1953" spans="1:22" ht="48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8316</v>
      </c>
      <c r="R1953" t="s">
        <v>8346</v>
      </c>
      <c r="S1953" s="14">
        <f t="shared" si="182"/>
        <v>42651.420567129629</v>
      </c>
      <c r="T1953" s="14">
        <f t="shared" si="183"/>
        <v>42681.462233796294</v>
      </c>
      <c r="U1953" s="64">
        <f t="shared" si="184"/>
        <v>30.041666666664241</v>
      </c>
      <c r="V1953" s="13" t="str">
        <f t="shared" si="185"/>
        <v>funded</v>
      </c>
    </row>
    <row r="1954" spans="1:22" ht="48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8316</v>
      </c>
      <c r="R1954" t="s">
        <v>8346</v>
      </c>
      <c r="S1954" s="14">
        <f t="shared" si="182"/>
        <v>41526.60665509259</v>
      </c>
      <c r="T1954" s="14">
        <f t="shared" si="183"/>
        <v>41563.60665509259</v>
      </c>
      <c r="U1954" s="64">
        <f t="shared" si="184"/>
        <v>37</v>
      </c>
      <c r="V1954" s="13" t="str">
        <f t="shared" si="185"/>
        <v>funded</v>
      </c>
    </row>
    <row r="1955" spans="1:22" ht="48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8316</v>
      </c>
      <c r="R1955" t="s">
        <v>8346</v>
      </c>
      <c r="S1955" s="14">
        <f t="shared" si="182"/>
        <v>40941.199826388889</v>
      </c>
      <c r="T1955" s="14">
        <f t="shared" si="183"/>
        <v>40970.125</v>
      </c>
      <c r="U1955" s="64">
        <f t="shared" si="184"/>
        <v>28.925173611110949</v>
      </c>
      <c r="V1955" s="13" t="str">
        <f t="shared" si="185"/>
        <v>funded</v>
      </c>
    </row>
    <row r="1956" spans="1:22" ht="3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8316</v>
      </c>
      <c r="R1956" t="s">
        <v>8346</v>
      </c>
      <c r="S1956" s="14">
        <f t="shared" si="182"/>
        <v>42394.580740740741</v>
      </c>
      <c r="T1956" s="14">
        <f t="shared" si="183"/>
        <v>42441.208333333328</v>
      </c>
      <c r="U1956" s="64">
        <f t="shared" si="184"/>
        <v>46.627592592587462</v>
      </c>
      <c r="V1956" s="13" t="str">
        <f t="shared" si="185"/>
        <v>funded</v>
      </c>
    </row>
    <row r="1957" spans="1:22" ht="48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8316</v>
      </c>
      <c r="R1957" t="s">
        <v>8346</v>
      </c>
      <c r="S1957" s="14">
        <f t="shared" si="182"/>
        <v>41020.271770833337</v>
      </c>
      <c r="T1957" s="14">
        <f t="shared" si="183"/>
        <v>41052.791666666664</v>
      </c>
      <c r="U1957" s="64">
        <f t="shared" si="184"/>
        <v>32.51989583332761</v>
      </c>
      <c r="V1957" s="13" t="str">
        <f t="shared" si="185"/>
        <v>funded</v>
      </c>
    </row>
    <row r="1958" spans="1:22" ht="48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8316</v>
      </c>
      <c r="R1958" t="s">
        <v>8346</v>
      </c>
      <c r="S1958" s="14">
        <f t="shared" si="182"/>
        <v>42067.923668981486</v>
      </c>
      <c r="T1958" s="14">
        <f t="shared" si="183"/>
        <v>42112.882002314815</v>
      </c>
      <c r="U1958" s="64">
        <f t="shared" si="184"/>
        <v>44.958333333328483</v>
      </c>
      <c r="V1958" s="13" t="str">
        <f t="shared" si="185"/>
        <v>funded</v>
      </c>
    </row>
    <row r="1959" spans="1:22" ht="3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8316</v>
      </c>
      <c r="R1959" t="s">
        <v>8346</v>
      </c>
      <c r="S1959" s="14">
        <f t="shared" si="182"/>
        <v>41179.098530092589</v>
      </c>
      <c r="T1959" s="14">
        <f t="shared" si="183"/>
        <v>41209.098530092589</v>
      </c>
      <c r="U1959" s="64">
        <f t="shared" si="184"/>
        <v>30</v>
      </c>
      <c r="V1959" s="13" t="str">
        <f t="shared" si="185"/>
        <v>funded</v>
      </c>
    </row>
    <row r="1960" spans="1:22" ht="48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8316</v>
      </c>
      <c r="R1960" t="s">
        <v>8346</v>
      </c>
      <c r="S1960" s="14">
        <f t="shared" si="182"/>
        <v>41326.987974537034</v>
      </c>
      <c r="T1960" s="14">
        <f t="shared" si="183"/>
        <v>41356.94630787037</v>
      </c>
      <c r="U1960" s="64">
        <f t="shared" si="184"/>
        <v>29.958333333335759</v>
      </c>
      <c r="V1960" s="13" t="str">
        <f t="shared" si="185"/>
        <v>funded</v>
      </c>
    </row>
    <row r="1961" spans="1:22" ht="48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8316</v>
      </c>
      <c r="R1961" t="s">
        <v>8346</v>
      </c>
      <c r="S1961" s="14">
        <f t="shared" si="182"/>
        <v>41871.845601851855</v>
      </c>
      <c r="T1961" s="14">
        <f t="shared" si="183"/>
        <v>41913</v>
      </c>
      <c r="U1961" s="64">
        <f t="shared" si="184"/>
        <v>41.154398148144537</v>
      </c>
      <c r="V1961" s="13" t="str">
        <f t="shared" si="185"/>
        <v>funded</v>
      </c>
    </row>
    <row r="1962" spans="1:22" ht="48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8316</v>
      </c>
      <c r="R1962" t="s">
        <v>8346</v>
      </c>
      <c r="S1962" s="14">
        <f t="shared" si="182"/>
        <v>41964.362743055557</v>
      </c>
      <c r="T1962" s="14">
        <f t="shared" si="183"/>
        <v>41994.362743055557</v>
      </c>
      <c r="U1962" s="64">
        <f t="shared" si="184"/>
        <v>30</v>
      </c>
      <c r="V1962" s="13" t="str">
        <f t="shared" si="185"/>
        <v>funded</v>
      </c>
    </row>
    <row r="1963" spans="1:22" ht="48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8316</v>
      </c>
      <c r="R1963" t="s">
        <v>8346</v>
      </c>
      <c r="S1963" s="14">
        <f t="shared" si="182"/>
        <v>41148.194641203707</v>
      </c>
      <c r="T1963" s="14">
        <f t="shared" si="183"/>
        <v>41188.165972222225</v>
      </c>
      <c r="U1963" s="64">
        <f t="shared" si="184"/>
        <v>39.971331018517958</v>
      </c>
      <c r="V1963" s="13" t="str">
        <f t="shared" si="185"/>
        <v>funded</v>
      </c>
    </row>
    <row r="1964" spans="1:22" ht="48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8316</v>
      </c>
      <c r="R1964" t="s">
        <v>8346</v>
      </c>
      <c r="S1964" s="14">
        <f t="shared" si="182"/>
        <v>41742.780509259261</v>
      </c>
      <c r="T1964" s="14">
        <f t="shared" si="183"/>
        <v>41772.780509259261</v>
      </c>
      <c r="U1964" s="64">
        <f t="shared" si="184"/>
        <v>30</v>
      </c>
      <c r="V1964" s="13" t="str">
        <f t="shared" si="185"/>
        <v>funded</v>
      </c>
    </row>
    <row r="1965" spans="1:22" ht="48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8316</v>
      </c>
      <c r="R1965" t="s">
        <v>8346</v>
      </c>
      <c r="S1965" s="14">
        <f t="shared" si="182"/>
        <v>41863.429791666669</v>
      </c>
      <c r="T1965" s="14">
        <f t="shared" si="183"/>
        <v>41898.429791666669</v>
      </c>
      <c r="U1965" s="64">
        <f t="shared" si="184"/>
        <v>35</v>
      </c>
      <c r="V1965" s="13" t="str">
        <f t="shared" si="185"/>
        <v>funded</v>
      </c>
    </row>
    <row r="1966" spans="1:22" ht="48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8316</v>
      </c>
      <c r="R1966" t="s">
        <v>8346</v>
      </c>
      <c r="S1966" s="14">
        <f t="shared" si="182"/>
        <v>42452.272824074069</v>
      </c>
      <c r="T1966" s="14">
        <f t="shared" si="183"/>
        <v>42482.272824074069</v>
      </c>
      <c r="U1966" s="64">
        <f t="shared" si="184"/>
        <v>30</v>
      </c>
      <c r="V1966" s="13" t="str">
        <f t="shared" si="185"/>
        <v>funded</v>
      </c>
    </row>
    <row r="1967" spans="1:22" ht="48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8316</v>
      </c>
      <c r="R1967" t="s">
        <v>8346</v>
      </c>
      <c r="S1967" s="14">
        <f t="shared" si="182"/>
        <v>40898.089236111111</v>
      </c>
      <c r="T1967" s="14">
        <f t="shared" si="183"/>
        <v>40920.041666666664</v>
      </c>
      <c r="U1967" s="64">
        <f t="shared" si="184"/>
        <v>21.952430555553292</v>
      </c>
      <c r="V1967" s="13" t="str">
        <f t="shared" si="185"/>
        <v>funded</v>
      </c>
    </row>
    <row r="1968" spans="1:22" ht="48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8316</v>
      </c>
      <c r="R1968" t="s">
        <v>8346</v>
      </c>
      <c r="S1968" s="14">
        <f t="shared" si="182"/>
        <v>41835.540486111109</v>
      </c>
      <c r="T1968" s="14">
        <f t="shared" si="183"/>
        <v>41865.540486111109</v>
      </c>
      <c r="U1968" s="64">
        <f t="shared" si="184"/>
        <v>30</v>
      </c>
      <c r="V1968" s="13" t="str">
        <f t="shared" si="185"/>
        <v>funded</v>
      </c>
    </row>
    <row r="1969" spans="1:22" ht="48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8316</v>
      </c>
      <c r="R1969" t="s">
        <v>8346</v>
      </c>
      <c r="S1969" s="14">
        <f t="shared" si="182"/>
        <v>41730.663530092592</v>
      </c>
      <c r="T1969" s="14">
        <f t="shared" si="183"/>
        <v>41760.663530092592</v>
      </c>
      <c r="U1969" s="64">
        <f t="shared" si="184"/>
        <v>30</v>
      </c>
      <c r="V1969" s="13" t="str">
        <f t="shared" si="185"/>
        <v>funded</v>
      </c>
    </row>
    <row r="1970" spans="1:22" ht="3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8316</v>
      </c>
      <c r="R1970" t="s">
        <v>8346</v>
      </c>
      <c r="S1970" s="14">
        <f t="shared" si="182"/>
        <v>42676.586979166663</v>
      </c>
      <c r="T1970" s="14">
        <f t="shared" si="183"/>
        <v>42707.628645833334</v>
      </c>
      <c r="U1970" s="64">
        <f t="shared" si="184"/>
        <v>31.041666666671517</v>
      </c>
      <c r="V1970" s="13" t="str">
        <f t="shared" si="185"/>
        <v>funded</v>
      </c>
    </row>
    <row r="1971" spans="1:22" ht="48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8316</v>
      </c>
      <c r="R1971" t="s">
        <v>8346</v>
      </c>
      <c r="S1971" s="14">
        <f t="shared" si="182"/>
        <v>42557.792453703703</v>
      </c>
      <c r="T1971" s="14">
        <f t="shared" si="183"/>
        <v>42587.792453703703</v>
      </c>
      <c r="U1971" s="64">
        <f t="shared" si="184"/>
        <v>30</v>
      </c>
      <c r="V1971" s="13" t="str">
        <f t="shared" si="185"/>
        <v>funded</v>
      </c>
    </row>
    <row r="1972" spans="1:22" ht="48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8316</v>
      </c>
      <c r="R1972" t="s">
        <v>8346</v>
      </c>
      <c r="S1972" s="14">
        <f t="shared" si="182"/>
        <v>41324.193298611113</v>
      </c>
      <c r="T1972" s="14">
        <f t="shared" si="183"/>
        <v>41384.151631944449</v>
      </c>
      <c r="U1972" s="64">
        <f t="shared" si="184"/>
        <v>59.958333333335759</v>
      </c>
      <c r="V1972" s="13" t="str">
        <f t="shared" si="185"/>
        <v>funded</v>
      </c>
    </row>
    <row r="1973" spans="1:22" ht="48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8316</v>
      </c>
      <c r="R1973" t="s">
        <v>8346</v>
      </c>
      <c r="S1973" s="14">
        <f t="shared" si="182"/>
        <v>41561.500706018516</v>
      </c>
      <c r="T1973" s="14">
        <f t="shared" si="183"/>
        <v>41593.166666666664</v>
      </c>
      <c r="U1973" s="64">
        <f t="shared" si="184"/>
        <v>31.66596064814803</v>
      </c>
      <c r="V1973" s="13" t="str">
        <f t="shared" si="185"/>
        <v>funded</v>
      </c>
    </row>
    <row r="1974" spans="1:22" ht="48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8316</v>
      </c>
      <c r="R1974" t="s">
        <v>8346</v>
      </c>
      <c r="S1974" s="14">
        <f t="shared" si="182"/>
        <v>41201.012083333335</v>
      </c>
      <c r="T1974" s="14">
        <f t="shared" si="183"/>
        <v>41231.053749999999</v>
      </c>
      <c r="U1974" s="64">
        <f t="shared" si="184"/>
        <v>30.041666666664241</v>
      </c>
      <c r="V1974" s="13" t="str">
        <f t="shared" si="185"/>
        <v>funded</v>
      </c>
    </row>
    <row r="1975" spans="1:22" ht="48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8316</v>
      </c>
      <c r="R1975" t="s">
        <v>8346</v>
      </c>
      <c r="S1975" s="14">
        <f t="shared" si="182"/>
        <v>42549.722962962958</v>
      </c>
      <c r="T1975" s="14">
        <f t="shared" si="183"/>
        <v>42588.291666666672</v>
      </c>
      <c r="U1975" s="64">
        <f t="shared" si="184"/>
        <v>38.568703703713254</v>
      </c>
      <c r="V1975" s="13" t="str">
        <f t="shared" si="185"/>
        <v>funded</v>
      </c>
    </row>
    <row r="1976" spans="1:22" ht="48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8316</v>
      </c>
      <c r="R1976" t="s">
        <v>8346</v>
      </c>
      <c r="S1976" s="14">
        <f t="shared" si="182"/>
        <v>41445.334131944444</v>
      </c>
      <c r="T1976" s="14">
        <f t="shared" si="183"/>
        <v>41505.334131944444</v>
      </c>
      <c r="U1976" s="64">
        <f t="shared" si="184"/>
        <v>60</v>
      </c>
      <c r="V1976" s="13" t="str">
        <f t="shared" si="185"/>
        <v>funded</v>
      </c>
    </row>
    <row r="1977" spans="1:22" ht="3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8316</v>
      </c>
      <c r="R1977" t="s">
        <v>8346</v>
      </c>
      <c r="S1977" s="14">
        <f t="shared" si="182"/>
        <v>41313.755219907405</v>
      </c>
      <c r="T1977" s="14">
        <f t="shared" si="183"/>
        <v>41343.755219907405</v>
      </c>
      <c r="U1977" s="64">
        <f t="shared" si="184"/>
        <v>30</v>
      </c>
      <c r="V1977" s="13" t="str">
        <f t="shared" si="185"/>
        <v>funded</v>
      </c>
    </row>
    <row r="1978" spans="1:22" ht="3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8316</v>
      </c>
      <c r="R1978" t="s">
        <v>8346</v>
      </c>
      <c r="S1978" s="14">
        <f t="shared" si="182"/>
        <v>41438.899594907409</v>
      </c>
      <c r="T1978" s="14">
        <f t="shared" si="183"/>
        <v>41468.899594907409</v>
      </c>
      <c r="U1978" s="64">
        <f t="shared" si="184"/>
        <v>30</v>
      </c>
      <c r="V1978" s="13" t="str">
        <f t="shared" si="185"/>
        <v>funded</v>
      </c>
    </row>
    <row r="1979" spans="1:22" ht="48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8316</v>
      </c>
      <c r="R1979" t="s">
        <v>8346</v>
      </c>
      <c r="S1979" s="14">
        <f t="shared" si="182"/>
        <v>42311.216898148152</v>
      </c>
      <c r="T1979" s="14">
        <f t="shared" si="183"/>
        <v>42357.332638888889</v>
      </c>
      <c r="U1979" s="64">
        <f t="shared" si="184"/>
        <v>46.115740740737238</v>
      </c>
      <c r="V1979" s="13" t="str">
        <f t="shared" si="185"/>
        <v>funded</v>
      </c>
    </row>
    <row r="1980" spans="1:22" ht="48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8316</v>
      </c>
      <c r="R1980" t="s">
        <v>8346</v>
      </c>
      <c r="S1980" s="14">
        <f t="shared" si="182"/>
        <v>41039.225601851853</v>
      </c>
      <c r="T1980" s="14">
        <f t="shared" si="183"/>
        <v>41072.291666666664</v>
      </c>
      <c r="U1980" s="64">
        <f t="shared" si="184"/>
        <v>33.066064814811398</v>
      </c>
      <c r="V1980" s="13" t="str">
        <f t="shared" si="185"/>
        <v>funded</v>
      </c>
    </row>
    <row r="1981" spans="1:22" ht="3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8316</v>
      </c>
      <c r="R1981" t="s">
        <v>8346</v>
      </c>
      <c r="S1981" s="14">
        <f t="shared" si="182"/>
        <v>42290.460023148145</v>
      </c>
      <c r="T1981" s="14">
        <f t="shared" si="183"/>
        <v>42327.207638888889</v>
      </c>
      <c r="U1981" s="64">
        <f t="shared" si="184"/>
        <v>36.74761574074364</v>
      </c>
      <c r="V1981" s="13" t="str">
        <f t="shared" si="185"/>
        <v>funded</v>
      </c>
    </row>
    <row r="1982" spans="1:22" ht="3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8316</v>
      </c>
      <c r="R1982" t="s">
        <v>8346</v>
      </c>
      <c r="S1982" s="14">
        <f t="shared" si="182"/>
        <v>42423.542384259257</v>
      </c>
      <c r="T1982" s="14">
        <f t="shared" si="183"/>
        <v>42463.500717592593</v>
      </c>
      <c r="U1982" s="64">
        <f t="shared" si="184"/>
        <v>39.958333333335759</v>
      </c>
      <c r="V1982" s="13" t="str">
        <f t="shared" si="185"/>
        <v>funded</v>
      </c>
    </row>
    <row r="1983" spans="1:22" ht="48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8335</v>
      </c>
      <c r="R1983" t="s">
        <v>8347</v>
      </c>
      <c r="S1983" s="14">
        <f t="shared" si="182"/>
        <v>41799.725289351853</v>
      </c>
      <c r="T1983" s="14">
        <f t="shared" si="183"/>
        <v>41829.725289351853</v>
      </c>
      <c r="U1983" s="64">
        <f t="shared" si="184"/>
        <v>30</v>
      </c>
      <c r="V1983" s="13" t="str">
        <f t="shared" si="185"/>
        <v>underfunded</v>
      </c>
    </row>
    <row r="1984" spans="1:22" ht="48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0" t="s">
        <v>8335</v>
      </c>
      <c r="R1984" t="s">
        <v>8347</v>
      </c>
      <c r="S1984" s="14">
        <f t="shared" si="182"/>
        <v>42678.586655092593</v>
      </c>
      <c r="T1984" s="14">
        <f t="shared" si="183"/>
        <v>42708.628321759257</v>
      </c>
      <c r="U1984" s="64">
        <f t="shared" si="184"/>
        <v>30.041666666664241</v>
      </c>
      <c r="V1984" s="13" t="str">
        <f t="shared" si="185"/>
        <v>underfunded</v>
      </c>
    </row>
    <row r="1985" spans="1:22" ht="48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8335</v>
      </c>
      <c r="R1985" t="s">
        <v>8347</v>
      </c>
      <c r="S1985" s="14">
        <f t="shared" si="182"/>
        <v>42593.011782407411</v>
      </c>
      <c r="T1985" s="14">
        <f t="shared" si="183"/>
        <v>42615.291666666672</v>
      </c>
      <c r="U1985" s="64">
        <f t="shared" si="184"/>
        <v>22.279884259260143</v>
      </c>
      <c r="V1985" s="13" t="str">
        <f t="shared" si="185"/>
        <v>underfunded</v>
      </c>
    </row>
    <row r="1986" spans="1:22" ht="6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>
        <f t="shared" si="181"/>
        <v>453.14</v>
      </c>
      <c r="Q1986" s="10" t="s">
        <v>8335</v>
      </c>
      <c r="R1986" t="s">
        <v>8347</v>
      </c>
      <c r="S1986" s="14">
        <f t="shared" si="182"/>
        <v>41913.790289351848</v>
      </c>
      <c r="T1986" s="14">
        <f t="shared" si="183"/>
        <v>41973.831956018519</v>
      </c>
      <c r="U1986" s="64">
        <f t="shared" si="184"/>
        <v>60.041666666671517</v>
      </c>
      <c r="V1986" s="13" t="str">
        <f t="shared" si="185"/>
        <v>underfunded</v>
      </c>
    </row>
    <row r="1987" spans="1:22" ht="48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ROUND(E1987/D1987*100,0)</f>
        <v>3</v>
      </c>
      <c r="P1987">
        <f t="shared" ref="P1987:P2050" si="187">IFERROR(ROUND(E1987/L1987,2), 0)</f>
        <v>12.75</v>
      </c>
      <c r="Q1987" s="10" t="s">
        <v>8335</v>
      </c>
      <c r="R1987" t="s">
        <v>8347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 s="64">
        <f t="shared" ref="U1987:V2050" si="190">T1987-S1987</f>
        <v>29.259594907402061</v>
      </c>
      <c r="V1987" s="13" t="str">
        <f t="shared" ref="V1987:V2050" si="191">IF(E1987&gt;=D1987, "funded", "underfunded")</f>
        <v>underfunded</v>
      </c>
    </row>
    <row r="1988" spans="1:22" ht="48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0" t="s">
        <v>8335</v>
      </c>
      <c r="R1988" t="s">
        <v>8347</v>
      </c>
      <c r="S1988" s="14">
        <f t="shared" si="188"/>
        <v>42413.433831018512</v>
      </c>
      <c r="T1988" s="14">
        <f t="shared" si="189"/>
        <v>42443.392164351855</v>
      </c>
      <c r="U1988" s="64">
        <f t="shared" si="190"/>
        <v>29.958333333343035</v>
      </c>
      <c r="V1988" s="13" t="str">
        <f t="shared" si="191"/>
        <v>underfunded</v>
      </c>
    </row>
    <row r="1989" spans="1:22" ht="3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8335</v>
      </c>
      <c r="R1989" t="s">
        <v>8347</v>
      </c>
      <c r="S1989" s="14">
        <f t="shared" si="188"/>
        <v>42034.639768518522</v>
      </c>
      <c r="T1989" s="14">
        <f t="shared" si="189"/>
        <v>42064.639768518522</v>
      </c>
      <c r="U1989" s="64">
        <f t="shared" si="190"/>
        <v>30</v>
      </c>
      <c r="V1989" s="13" t="str">
        <f t="shared" si="191"/>
        <v>underfunded</v>
      </c>
    </row>
    <row r="1990" spans="1:22" ht="16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0" t="s">
        <v>8335</v>
      </c>
      <c r="R1990" t="s">
        <v>8347</v>
      </c>
      <c r="S1990" s="14">
        <f t="shared" si="188"/>
        <v>42206.763217592597</v>
      </c>
      <c r="T1990" s="14">
        <f t="shared" si="189"/>
        <v>42236.763217592597</v>
      </c>
      <c r="U1990" s="64">
        <f t="shared" si="190"/>
        <v>30</v>
      </c>
      <c r="V1990" s="13" t="str">
        <f t="shared" si="191"/>
        <v>underfunded</v>
      </c>
    </row>
    <row r="1991" spans="1:22" ht="48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8335</v>
      </c>
      <c r="R1991" t="s">
        <v>8347</v>
      </c>
      <c r="S1991" s="14">
        <f t="shared" si="188"/>
        <v>42685.680648148147</v>
      </c>
      <c r="T1991" s="14">
        <f t="shared" si="189"/>
        <v>42715.680648148147</v>
      </c>
      <c r="U1991" s="64">
        <f t="shared" si="190"/>
        <v>30</v>
      </c>
      <c r="V1991" s="13" t="str">
        <f t="shared" si="191"/>
        <v>underfunded</v>
      </c>
    </row>
    <row r="1992" spans="1:22" ht="48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8335</v>
      </c>
      <c r="R1992" t="s">
        <v>8347</v>
      </c>
      <c r="S1992" s="14">
        <f t="shared" si="188"/>
        <v>42398.195972222224</v>
      </c>
      <c r="T1992" s="14">
        <f t="shared" si="189"/>
        <v>42413.195972222224</v>
      </c>
      <c r="U1992" s="64">
        <f t="shared" si="190"/>
        <v>15</v>
      </c>
      <c r="V1992" s="13" t="str">
        <f t="shared" si="191"/>
        <v>underfunded</v>
      </c>
    </row>
    <row r="1993" spans="1:22" ht="3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8335</v>
      </c>
      <c r="R1993" t="s">
        <v>8347</v>
      </c>
      <c r="S1993" s="14">
        <f t="shared" si="188"/>
        <v>42167.89335648148</v>
      </c>
      <c r="T1993" s="14">
        <f t="shared" si="189"/>
        <v>42188.89335648148</v>
      </c>
      <c r="U1993" s="64">
        <f t="shared" si="190"/>
        <v>21</v>
      </c>
      <c r="V1993" s="13" t="str">
        <f t="shared" si="191"/>
        <v>underfunded</v>
      </c>
    </row>
    <row r="1994" spans="1:22" ht="3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0" t="s">
        <v>8335</v>
      </c>
      <c r="R1994" t="s">
        <v>8347</v>
      </c>
      <c r="S1994" s="14">
        <f t="shared" si="188"/>
        <v>42023.143414351856</v>
      </c>
      <c r="T1994" s="14">
        <f t="shared" si="189"/>
        <v>42053.143414351856</v>
      </c>
      <c r="U1994" s="64">
        <f t="shared" si="190"/>
        <v>30</v>
      </c>
      <c r="V1994" s="13" t="str">
        <f t="shared" si="191"/>
        <v>underfunded</v>
      </c>
    </row>
    <row r="1995" spans="1:22" ht="48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0" t="s">
        <v>8335</v>
      </c>
      <c r="R1995" t="s">
        <v>8347</v>
      </c>
      <c r="S1995" s="14">
        <f t="shared" si="188"/>
        <v>42329.58839120371</v>
      </c>
      <c r="T1995" s="14">
        <f t="shared" si="189"/>
        <v>42359.58839120371</v>
      </c>
      <c r="U1995" s="64">
        <f t="shared" si="190"/>
        <v>30</v>
      </c>
      <c r="V1995" s="13" t="str">
        <f t="shared" si="191"/>
        <v>underfunded</v>
      </c>
    </row>
    <row r="1996" spans="1:22" ht="48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0" t="s">
        <v>8335</v>
      </c>
      <c r="R1996" t="s">
        <v>8347</v>
      </c>
      <c r="S1996" s="14">
        <f t="shared" si="188"/>
        <v>42651.006273148145</v>
      </c>
      <c r="T1996" s="14">
        <f t="shared" si="189"/>
        <v>42711.047939814816</v>
      </c>
      <c r="U1996" s="64">
        <f t="shared" si="190"/>
        <v>60.041666666671517</v>
      </c>
      <c r="V1996" s="13" t="str">
        <f t="shared" si="191"/>
        <v>underfunded</v>
      </c>
    </row>
    <row r="1997" spans="1:22" ht="48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8335</v>
      </c>
      <c r="R1997" t="s">
        <v>8347</v>
      </c>
      <c r="S1997" s="14">
        <f t="shared" si="188"/>
        <v>42181.902037037042</v>
      </c>
      <c r="T1997" s="14">
        <f t="shared" si="189"/>
        <v>42201.902037037042</v>
      </c>
      <c r="U1997" s="64">
        <f t="shared" si="190"/>
        <v>20</v>
      </c>
      <c r="V1997" s="13" t="str">
        <f t="shared" si="191"/>
        <v>underfunded</v>
      </c>
    </row>
    <row r="1998" spans="1:22" ht="48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0" t="s">
        <v>8335</v>
      </c>
      <c r="R1998" t="s">
        <v>8347</v>
      </c>
      <c r="S1998" s="14">
        <f t="shared" si="188"/>
        <v>41800.819571759261</v>
      </c>
      <c r="T1998" s="14">
        <f t="shared" si="189"/>
        <v>41830.819571759261</v>
      </c>
      <c r="U1998" s="64">
        <f t="shared" si="190"/>
        <v>30</v>
      </c>
      <c r="V1998" s="13" t="str">
        <f t="shared" si="191"/>
        <v>underfunded</v>
      </c>
    </row>
    <row r="1999" spans="1:22" ht="48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0" t="s">
        <v>8335</v>
      </c>
      <c r="R1999" t="s">
        <v>8347</v>
      </c>
      <c r="S1999" s="14">
        <f t="shared" si="188"/>
        <v>41847.930694444447</v>
      </c>
      <c r="T1999" s="14">
        <f t="shared" si="189"/>
        <v>41877.930694444447</v>
      </c>
      <c r="U1999" s="64">
        <f t="shared" si="190"/>
        <v>30</v>
      </c>
      <c r="V1999" s="13" t="str">
        <f t="shared" si="191"/>
        <v>underfunded</v>
      </c>
    </row>
    <row r="2000" spans="1:22" ht="48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8335</v>
      </c>
      <c r="R2000" t="s">
        <v>8347</v>
      </c>
      <c r="S2000" s="14">
        <f t="shared" si="188"/>
        <v>41807.118495370371</v>
      </c>
      <c r="T2000" s="14">
        <f t="shared" si="189"/>
        <v>41852.118495370371</v>
      </c>
      <c r="U2000" s="64">
        <f t="shared" si="190"/>
        <v>45</v>
      </c>
      <c r="V2000" s="13" t="str">
        <f t="shared" si="191"/>
        <v>underfunded</v>
      </c>
    </row>
    <row r="2001" spans="1:22" ht="48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8335</v>
      </c>
      <c r="R2001" t="s">
        <v>8347</v>
      </c>
      <c r="S2001" s="14">
        <f t="shared" si="188"/>
        <v>41926.482731481483</v>
      </c>
      <c r="T2001" s="14">
        <f t="shared" si="189"/>
        <v>41956.524398148147</v>
      </c>
      <c r="U2001" s="64">
        <f t="shared" si="190"/>
        <v>30.041666666664241</v>
      </c>
      <c r="V2001" s="13" t="str">
        <f t="shared" si="191"/>
        <v>underfunded</v>
      </c>
    </row>
    <row r="2002" spans="1:22" ht="48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8335</v>
      </c>
      <c r="R2002" t="s">
        <v>8347</v>
      </c>
      <c r="S2002" s="14">
        <f t="shared" si="188"/>
        <v>42345.951539351852</v>
      </c>
      <c r="T2002" s="14">
        <f t="shared" si="189"/>
        <v>42375.951539351852</v>
      </c>
      <c r="U2002" s="64">
        <f t="shared" si="190"/>
        <v>30</v>
      </c>
      <c r="V2002" s="13" t="str">
        <f t="shared" si="191"/>
        <v>underfunded</v>
      </c>
    </row>
    <row r="2003" spans="1:22" ht="3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8316</v>
      </c>
      <c r="R2003" t="s">
        <v>8346</v>
      </c>
      <c r="S2003" s="14">
        <f t="shared" si="188"/>
        <v>42136.209675925929</v>
      </c>
      <c r="T2003" s="14">
        <f t="shared" si="189"/>
        <v>42167.833333333328</v>
      </c>
      <c r="U2003" s="64">
        <f t="shared" si="190"/>
        <v>31.623657407399151</v>
      </c>
      <c r="V2003" s="13" t="str">
        <f t="shared" si="191"/>
        <v>funded</v>
      </c>
    </row>
    <row r="2004" spans="1:22" ht="48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8316</v>
      </c>
      <c r="R2004" t="s">
        <v>8346</v>
      </c>
      <c r="S2004" s="14">
        <f t="shared" si="188"/>
        <v>42728.71230324074</v>
      </c>
      <c r="T2004" s="14">
        <f t="shared" si="189"/>
        <v>42758.71230324074</v>
      </c>
      <c r="U2004" s="64">
        <f t="shared" si="190"/>
        <v>30</v>
      </c>
      <c r="V2004" s="13" t="str">
        <f t="shared" si="191"/>
        <v>funded</v>
      </c>
    </row>
    <row r="2005" spans="1:22" ht="6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8316</v>
      </c>
      <c r="R2005" t="s">
        <v>8346</v>
      </c>
      <c r="S2005" s="14">
        <f t="shared" si="188"/>
        <v>40347.125601851854</v>
      </c>
      <c r="T2005" s="14">
        <f t="shared" si="189"/>
        <v>40361.958333333336</v>
      </c>
      <c r="U2005" s="64">
        <f t="shared" si="190"/>
        <v>14.83273148148146</v>
      </c>
      <c r="V2005" s="13" t="str">
        <f t="shared" si="191"/>
        <v>funded</v>
      </c>
    </row>
    <row r="2006" spans="1:22" ht="48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8316</v>
      </c>
      <c r="R2006" t="s">
        <v>8346</v>
      </c>
      <c r="S2006" s="14">
        <f t="shared" si="188"/>
        <v>41800.604895833334</v>
      </c>
      <c r="T2006" s="14">
        <f t="shared" si="189"/>
        <v>41830.604895833334</v>
      </c>
      <c r="U2006" s="64">
        <f t="shared" si="190"/>
        <v>30</v>
      </c>
      <c r="V2006" s="13" t="str">
        <f t="shared" si="191"/>
        <v>funded</v>
      </c>
    </row>
    <row r="2007" spans="1:22" ht="48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8316</v>
      </c>
      <c r="R2007" t="s">
        <v>8346</v>
      </c>
      <c r="S2007" s="14">
        <f t="shared" si="188"/>
        <v>41535.812708333331</v>
      </c>
      <c r="T2007" s="14">
        <f t="shared" si="189"/>
        <v>41563.165972222225</v>
      </c>
      <c r="U2007" s="64">
        <f t="shared" si="190"/>
        <v>27.353263888893707</v>
      </c>
      <c r="V2007" s="13" t="str">
        <f t="shared" si="191"/>
        <v>funded</v>
      </c>
    </row>
    <row r="2008" spans="1:22" ht="48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8316</v>
      </c>
      <c r="R2008" t="s">
        <v>8346</v>
      </c>
      <c r="S2008" s="14">
        <f t="shared" si="188"/>
        <v>41941.500520833331</v>
      </c>
      <c r="T2008" s="14">
        <f t="shared" si="189"/>
        <v>41976.542187500003</v>
      </c>
      <c r="U2008" s="64">
        <f t="shared" si="190"/>
        <v>35.041666666671517</v>
      </c>
      <c r="V2008" s="13" t="str">
        <f t="shared" si="191"/>
        <v>funded</v>
      </c>
    </row>
    <row r="2009" spans="1:22" ht="48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8316</v>
      </c>
      <c r="R2009" t="s">
        <v>8346</v>
      </c>
      <c r="S2009" s="14">
        <f t="shared" si="188"/>
        <v>40347.837800925925</v>
      </c>
      <c r="T2009" s="14">
        <f t="shared" si="189"/>
        <v>40414.166666666664</v>
      </c>
      <c r="U2009" s="64">
        <f t="shared" si="190"/>
        <v>66.328865740739275</v>
      </c>
      <c r="V2009" s="13" t="str">
        <f t="shared" si="191"/>
        <v>funded</v>
      </c>
    </row>
    <row r="2010" spans="1:22" ht="48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8316</v>
      </c>
      <c r="R2010" t="s">
        <v>8346</v>
      </c>
      <c r="S2010" s="14">
        <f t="shared" si="188"/>
        <v>40761.604421296295</v>
      </c>
      <c r="T2010" s="14">
        <f t="shared" si="189"/>
        <v>40805.604421296295</v>
      </c>
      <c r="U2010" s="64">
        <f t="shared" si="190"/>
        <v>44</v>
      </c>
      <c r="V2010" s="13" t="str">
        <f t="shared" si="191"/>
        <v>funded</v>
      </c>
    </row>
    <row r="2011" spans="1:22" ht="48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8316</v>
      </c>
      <c r="R2011" t="s">
        <v>8346</v>
      </c>
      <c r="S2011" s="14">
        <f t="shared" si="188"/>
        <v>42661.323414351849</v>
      </c>
      <c r="T2011" s="14">
        <f t="shared" si="189"/>
        <v>42697.365081018521</v>
      </c>
      <c r="U2011" s="64">
        <f t="shared" si="190"/>
        <v>36.041666666671517</v>
      </c>
      <c r="V2011" s="13" t="str">
        <f t="shared" si="191"/>
        <v>funded</v>
      </c>
    </row>
    <row r="2012" spans="1:22" ht="3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8316</v>
      </c>
      <c r="R2012" t="s">
        <v>8346</v>
      </c>
      <c r="S2012" s="14">
        <f t="shared" si="188"/>
        <v>42570.996423611112</v>
      </c>
      <c r="T2012" s="14">
        <f t="shared" si="189"/>
        <v>42600.996423611112</v>
      </c>
      <c r="U2012" s="64">
        <f t="shared" si="190"/>
        <v>30</v>
      </c>
      <c r="V2012" s="13" t="str">
        <f t="shared" si="191"/>
        <v>funded</v>
      </c>
    </row>
    <row r="2013" spans="1:22" ht="48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8316</v>
      </c>
      <c r="R2013" t="s">
        <v>8346</v>
      </c>
      <c r="S2013" s="14">
        <f t="shared" si="188"/>
        <v>42347.358483796299</v>
      </c>
      <c r="T2013" s="14">
        <f t="shared" si="189"/>
        <v>42380.958333333328</v>
      </c>
      <c r="U2013" s="64">
        <f t="shared" si="190"/>
        <v>33.599849537029513</v>
      </c>
      <c r="V2013" s="13" t="str">
        <f t="shared" si="191"/>
        <v>funded</v>
      </c>
    </row>
    <row r="2014" spans="1:22" ht="48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8316</v>
      </c>
      <c r="R2014" t="s">
        <v>8346</v>
      </c>
      <c r="S2014" s="14">
        <f t="shared" si="188"/>
        <v>42010.822233796294</v>
      </c>
      <c r="T2014" s="14">
        <f t="shared" si="189"/>
        <v>42040.822233796294</v>
      </c>
      <c r="U2014" s="64">
        <f t="shared" si="190"/>
        <v>30</v>
      </c>
      <c r="V2014" s="13" t="str">
        <f t="shared" si="191"/>
        <v>funded</v>
      </c>
    </row>
    <row r="2015" spans="1:22" ht="48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8316</v>
      </c>
      <c r="R2015" t="s">
        <v>8346</v>
      </c>
      <c r="S2015" s="14">
        <f t="shared" si="188"/>
        <v>42499.960810185185</v>
      </c>
      <c r="T2015" s="14">
        <f t="shared" si="189"/>
        <v>42559.960810185185</v>
      </c>
      <c r="U2015" s="64">
        <f t="shared" si="190"/>
        <v>60</v>
      </c>
      <c r="V2015" s="13" t="str">
        <f t="shared" si="191"/>
        <v>funded</v>
      </c>
    </row>
    <row r="2016" spans="1:22" ht="48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8316</v>
      </c>
      <c r="R2016" t="s">
        <v>8346</v>
      </c>
      <c r="S2016" s="14">
        <f t="shared" si="188"/>
        <v>41324.214571759258</v>
      </c>
      <c r="T2016" s="14">
        <f t="shared" si="189"/>
        <v>41358.172905092593</v>
      </c>
      <c r="U2016" s="64">
        <f t="shared" si="190"/>
        <v>33.958333333335759</v>
      </c>
      <c r="V2016" s="13" t="str">
        <f t="shared" si="191"/>
        <v>funded</v>
      </c>
    </row>
    <row r="2017" spans="1:22" ht="48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8316</v>
      </c>
      <c r="R2017" t="s">
        <v>8346</v>
      </c>
      <c r="S2017" s="14">
        <f t="shared" si="188"/>
        <v>40765.876886574071</v>
      </c>
      <c r="T2017" s="14">
        <f t="shared" si="189"/>
        <v>40795.876886574071</v>
      </c>
      <c r="U2017" s="64">
        <f t="shared" si="190"/>
        <v>30</v>
      </c>
      <c r="V2017" s="13" t="str">
        <f t="shared" si="191"/>
        <v>funded</v>
      </c>
    </row>
    <row r="2018" spans="1:22" ht="3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8316</v>
      </c>
      <c r="R2018" t="s">
        <v>8346</v>
      </c>
      <c r="S2018" s="14">
        <f t="shared" si="188"/>
        <v>41312.88077546296</v>
      </c>
      <c r="T2018" s="14">
        <f t="shared" si="189"/>
        <v>41342.88077546296</v>
      </c>
      <c r="U2018" s="64">
        <f t="shared" si="190"/>
        <v>30</v>
      </c>
      <c r="V2018" s="13" t="str">
        <f t="shared" si="191"/>
        <v>funded</v>
      </c>
    </row>
    <row r="2019" spans="1:22" ht="48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8316</v>
      </c>
      <c r="R2019" t="s">
        <v>8346</v>
      </c>
      <c r="S2019" s="14">
        <f t="shared" si="188"/>
        <v>40961.057349537034</v>
      </c>
      <c r="T2019" s="14">
        <f t="shared" si="189"/>
        <v>40992.166666666664</v>
      </c>
      <c r="U2019" s="64">
        <f t="shared" si="190"/>
        <v>31.109317129630654</v>
      </c>
      <c r="V2019" s="13" t="str">
        <f t="shared" si="191"/>
        <v>funded</v>
      </c>
    </row>
    <row r="2020" spans="1:22" ht="48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8316</v>
      </c>
      <c r="R2020" t="s">
        <v>8346</v>
      </c>
      <c r="S2020" s="14">
        <f t="shared" si="188"/>
        <v>42199.365844907406</v>
      </c>
      <c r="T2020" s="14">
        <f t="shared" si="189"/>
        <v>42229.365844907406</v>
      </c>
      <c r="U2020" s="64">
        <f t="shared" si="190"/>
        <v>30</v>
      </c>
      <c r="V2020" s="13" t="str">
        <f t="shared" si="191"/>
        <v>funded</v>
      </c>
    </row>
    <row r="2021" spans="1:22" ht="48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8316</v>
      </c>
      <c r="R2021" t="s">
        <v>8346</v>
      </c>
      <c r="S2021" s="14">
        <f t="shared" si="188"/>
        <v>42605.70857638889</v>
      </c>
      <c r="T2021" s="14">
        <f t="shared" si="189"/>
        <v>42635.70857638889</v>
      </c>
      <c r="U2021" s="64">
        <f t="shared" si="190"/>
        <v>30</v>
      </c>
      <c r="V2021" s="13" t="str">
        <f t="shared" si="191"/>
        <v>funded</v>
      </c>
    </row>
    <row r="2022" spans="1:22" ht="48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8316</v>
      </c>
      <c r="R2022" t="s">
        <v>8346</v>
      </c>
      <c r="S2022" s="14">
        <f t="shared" si="188"/>
        <v>41737.097499999996</v>
      </c>
      <c r="T2022" s="14">
        <f t="shared" si="189"/>
        <v>41773.961111111108</v>
      </c>
      <c r="U2022" s="64">
        <f t="shared" si="190"/>
        <v>36.863611111111823</v>
      </c>
      <c r="V2022" s="13" t="str">
        <f t="shared" si="191"/>
        <v>funded</v>
      </c>
    </row>
    <row r="2023" spans="1:22" ht="48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8316</v>
      </c>
      <c r="R2023" t="s">
        <v>8346</v>
      </c>
      <c r="S2023" s="14">
        <f t="shared" si="188"/>
        <v>41861.070567129631</v>
      </c>
      <c r="T2023" s="14">
        <f t="shared" si="189"/>
        <v>41906.070567129631</v>
      </c>
      <c r="U2023" s="64">
        <f t="shared" si="190"/>
        <v>45</v>
      </c>
      <c r="V2023" s="13" t="str">
        <f t="shared" si="191"/>
        <v>funded</v>
      </c>
    </row>
    <row r="2024" spans="1:22" ht="48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8316</v>
      </c>
      <c r="R2024" t="s">
        <v>8346</v>
      </c>
      <c r="S2024" s="14">
        <f t="shared" si="188"/>
        <v>42502.569120370375</v>
      </c>
      <c r="T2024" s="14">
        <f t="shared" si="189"/>
        <v>42532.569120370375</v>
      </c>
      <c r="U2024" s="64">
        <f t="shared" si="190"/>
        <v>30</v>
      </c>
      <c r="V2024" s="13" t="str">
        <f t="shared" si="191"/>
        <v>funded</v>
      </c>
    </row>
    <row r="2025" spans="1:22" ht="48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8316</v>
      </c>
      <c r="R2025" t="s">
        <v>8346</v>
      </c>
      <c r="S2025" s="14">
        <f t="shared" si="188"/>
        <v>42136.420752314814</v>
      </c>
      <c r="T2025" s="14">
        <f t="shared" si="189"/>
        <v>42166.420752314814</v>
      </c>
      <c r="U2025" s="64">
        <f t="shared" si="190"/>
        <v>30</v>
      </c>
      <c r="V2025" s="13" t="str">
        <f t="shared" si="191"/>
        <v>funded</v>
      </c>
    </row>
    <row r="2026" spans="1:22" ht="48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8316</v>
      </c>
      <c r="R2026" t="s">
        <v>8346</v>
      </c>
      <c r="S2026" s="14">
        <f t="shared" si="188"/>
        <v>41099.966944444444</v>
      </c>
      <c r="T2026" s="14">
        <f t="shared" si="189"/>
        <v>41134.125</v>
      </c>
      <c r="U2026" s="64">
        <f t="shared" si="190"/>
        <v>34.15805555555562</v>
      </c>
      <c r="V2026" s="13" t="str">
        <f t="shared" si="191"/>
        <v>funded</v>
      </c>
    </row>
    <row r="2027" spans="1:22" ht="48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8316</v>
      </c>
      <c r="R2027" t="s">
        <v>8346</v>
      </c>
      <c r="S2027" s="14">
        <f t="shared" si="188"/>
        <v>42136.184560185182</v>
      </c>
      <c r="T2027" s="14">
        <f t="shared" si="189"/>
        <v>42166.184560185182</v>
      </c>
      <c r="U2027" s="64">
        <f t="shared" si="190"/>
        <v>30</v>
      </c>
      <c r="V2027" s="13" t="str">
        <f t="shared" si="191"/>
        <v>funded</v>
      </c>
    </row>
    <row r="2028" spans="1:22" ht="3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8316</v>
      </c>
      <c r="R2028" t="s">
        <v>8346</v>
      </c>
      <c r="S2028" s="14">
        <f t="shared" si="188"/>
        <v>41704.735937500001</v>
      </c>
      <c r="T2028" s="14">
        <f t="shared" si="189"/>
        <v>41750.165972222225</v>
      </c>
      <c r="U2028" s="64">
        <f t="shared" si="190"/>
        <v>45.430034722223354</v>
      </c>
      <c r="V2028" s="13" t="str">
        <f t="shared" si="191"/>
        <v>funded</v>
      </c>
    </row>
    <row r="2029" spans="1:22" ht="48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8316</v>
      </c>
      <c r="R2029" t="s">
        <v>8346</v>
      </c>
      <c r="S2029" s="14">
        <f t="shared" si="188"/>
        <v>42048.813877314817</v>
      </c>
      <c r="T2029" s="14">
        <f t="shared" si="189"/>
        <v>42093.772210648152</v>
      </c>
      <c r="U2029" s="64">
        <f t="shared" si="190"/>
        <v>44.958333333335759</v>
      </c>
      <c r="V2029" s="13" t="str">
        <f t="shared" si="191"/>
        <v>funded</v>
      </c>
    </row>
    <row r="2030" spans="1:22" ht="3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8316</v>
      </c>
      <c r="R2030" t="s">
        <v>8346</v>
      </c>
      <c r="S2030" s="14">
        <f t="shared" si="188"/>
        <v>40215.919050925928</v>
      </c>
      <c r="T2030" s="14">
        <f t="shared" si="189"/>
        <v>40252.913194444445</v>
      </c>
      <c r="U2030" s="64">
        <f t="shared" si="190"/>
        <v>36.994143518517376</v>
      </c>
      <c r="V2030" s="13" t="str">
        <f t="shared" si="191"/>
        <v>funded</v>
      </c>
    </row>
    <row r="2031" spans="1:22" ht="3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8316</v>
      </c>
      <c r="R2031" t="s">
        <v>8346</v>
      </c>
      <c r="S2031" s="14">
        <f t="shared" si="188"/>
        <v>41848.021770833337</v>
      </c>
      <c r="T2031" s="14">
        <f t="shared" si="189"/>
        <v>41878.021770833337</v>
      </c>
      <c r="U2031" s="64">
        <f t="shared" si="190"/>
        <v>30</v>
      </c>
      <c r="V2031" s="13" t="str">
        <f t="shared" si="191"/>
        <v>funded</v>
      </c>
    </row>
    <row r="2032" spans="1:22" ht="48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8316</v>
      </c>
      <c r="R2032" t="s">
        <v>8346</v>
      </c>
      <c r="S2032" s="14">
        <f t="shared" si="188"/>
        <v>41212.996481481481</v>
      </c>
      <c r="T2032" s="14">
        <f t="shared" si="189"/>
        <v>41242.996481481481</v>
      </c>
      <c r="U2032" s="64">
        <f t="shared" si="190"/>
        <v>30</v>
      </c>
      <c r="V2032" s="13" t="str">
        <f t="shared" si="191"/>
        <v>funded</v>
      </c>
    </row>
    <row r="2033" spans="1:22" ht="3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8316</v>
      </c>
      <c r="R2033" t="s">
        <v>8346</v>
      </c>
      <c r="S2033" s="14">
        <f t="shared" si="188"/>
        <v>41975.329317129625</v>
      </c>
      <c r="T2033" s="14">
        <f t="shared" si="189"/>
        <v>42013.041666666672</v>
      </c>
      <c r="U2033" s="64">
        <f t="shared" si="190"/>
        <v>37.712349537046975</v>
      </c>
      <c r="V2033" s="13" t="str">
        <f t="shared" si="191"/>
        <v>funded</v>
      </c>
    </row>
    <row r="2034" spans="1:22" ht="48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8316</v>
      </c>
      <c r="R2034" t="s">
        <v>8346</v>
      </c>
      <c r="S2034" s="14">
        <f t="shared" si="188"/>
        <v>42689.565671296295</v>
      </c>
      <c r="T2034" s="14">
        <f t="shared" si="189"/>
        <v>42719.208333333328</v>
      </c>
      <c r="U2034" s="64">
        <f t="shared" si="190"/>
        <v>29.642662037033006</v>
      </c>
      <c r="V2034" s="13" t="str">
        <f t="shared" si="191"/>
        <v>funded</v>
      </c>
    </row>
    <row r="2035" spans="1:22" ht="48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8316</v>
      </c>
      <c r="R2035" t="s">
        <v>8346</v>
      </c>
      <c r="S2035" s="14">
        <f t="shared" si="188"/>
        <v>41725.082384259258</v>
      </c>
      <c r="T2035" s="14">
        <f t="shared" si="189"/>
        <v>41755.082384259258</v>
      </c>
      <c r="U2035" s="64">
        <f t="shared" si="190"/>
        <v>30</v>
      </c>
      <c r="V2035" s="13" t="str">
        <f t="shared" si="191"/>
        <v>funded</v>
      </c>
    </row>
    <row r="2036" spans="1:22" ht="48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8316</v>
      </c>
      <c r="R2036" t="s">
        <v>8346</v>
      </c>
      <c r="S2036" s="14">
        <f t="shared" si="188"/>
        <v>42076.130011574074</v>
      </c>
      <c r="T2036" s="14">
        <f t="shared" si="189"/>
        <v>42131.290277777778</v>
      </c>
      <c r="U2036" s="64">
        <f t="shared" si="190"/>
        <v>55.160266203703941</v>
      </c>
      <c r="V2036" s="13" t="str">
        <f t="shared" si="191"/>
        <v>funded</v>
      </c>
    </row>
    <row r="2037" spans="1:22" ht="48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8316</v>
      </c>
      <c r="R2037" t="s">
        <v>8346</v>
      </c>
      <c r="S2037" s="14">
        <f t="shared" si="188"/>
        <v>42311.625081018516</v>
      </c>
      <c r="T2037" s="14">
        <f t="shared" si="189"/>
        <v>42357.041666666672</v>
      </c>
      <c r="U2037" s="64">
        <f t="shared" si="190"/>
        <v>45.416585648155888</v>
      </c>
      <c r="V2037" s="13" t="str">
        <f t="shared" si="191"/>
        <v>funded</v>
      </c>
    </row>
    <row r="2038" spans="1:22" ht="48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8316</v>
      </c>
      <c r="R2038" t="s">
        <v>8346</v>
      </c>
      <c r="S2038" s="14">
        <f t="shared" si="188"/>
        <v>41738.864803240744</v>
      </c>
      <c r="T2038" s="14">
        <f t="shared" si="189"/>
        <v>41768.864803240744</v>
      </c>
      <c r="U2038" s="64">
        <f t="shared" si="190"/>
        <v>30</v>
      </c>
      <c r="V2038" s="13" t="str">
        <f t="shared" si="191"/>
        <v>funded</v>
      </c>
    </row>
    <row r="2039" spans="1:22" ht="48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8316</v>
      </c>
      <c r="R2039" t="s">
        <v>8346</v>
      </c>
      <c r="S2039" s="14">
        <f t="shared" si="188"/>
        <v>41578.210104166668</v>
      </c>
      <c r="T2039" s="14">
        <f t="shared" si="189"/>
        <v>41638.251770833333</v>
      </c>
      <c r="U2039" s="64">
        <f t="shared" si="190"/>
        <v>60.041666666664241</v>
      </c>
      <c r="V2039" s="13" t="str">
        <f t="shared" si="191"/>
        <v>funded</v>
      </c>
    </row>
    <row r="2040" spans="1:22" ht="48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8316</v>
      </c>
      <c r="R2040" t="s">
        <v>8346</v>
      </c>
      <c r="S2040" s="14">
        <f t="shared" si="188"/>
        <v>41424.27107638889</v>
      </c>
      <c r="T2040" s="14">
        <f t="shared" si="189"/>
        <v>41456.75</v>
      </c>
      <c r="U2040" s="64">
        <f t="shared" si="190"/>
        <v>32.478923611110076</v>
      </c>
      <c r="V2040" s="13" t="str">
        <f t="shared" si="191"/>
        <v>funded</v>
      </c>
    </row>
    <row r="2041" spans="1:22" ht="3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8316</v>
      </c>
      <c r="R2041" t="s">
        <v>8346</v>
      </c>
      <c r="S2041" s="14">
        <f t="shared" si="188"/>
        <v>42675.438946759255</v>
      </c>
      <c r="T2041" s="14">
        <f t="shared" si="189"/>
        <v>42705.207638888889</v>
      </c>
      <c r="U2041" s="64">
        <f t="shared" si="190"/>
        <v>29.768692129633564</v>
      </c>
      <c r="V2041" s="13" t="str">
        <f t="shared" si="191"/>
        <v>funded</v>
      </c>
    </row>
    <row r="2042" spans="1:22" ht="3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8316</v>
      </c>
      <c r="R2042" t="s">
        <v>8346</v>
      </c>
      <c r="S2042" s="14">
        <f t="shared" si="188"/>
        <v>41578.927118055559</v>
      </c>
      <c r="T2042" s="14">
        <f t="shared" si="189"/>
        <v>41593.968784722223</v>
      </c>
      <c r="U2042" s="64">
        <f t="shared" si="190"/>
        <v>15.041666666664241</v>
      </c>
      <c r="V2042" s="13" t="str">
        <f t="shared" si="191"/>
        <v>funded</v>
      </c>
    </row>
    <row r="2043" spans="1:22" ht="48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8316</v>
      </c>
      <c r="R2043" t="s">
        <v>8346</v>
      </c>
      <c r="S2043" s="14">
        <f t="shared" si="188"/>
        <v>42654.525775462964</v>
      </c>
      <c r="T2043" s="14">
        <f t="shared" si="189"/>
        <v>42684.567442129628</v>
      </c>
      <c r="U2043" s="64">
        <f t="shared" si="190"/>
        <v>30.041666666664241</v>
      </c>
      <c r="V2043" s="13" t="str">
        <f t="shared" si="191"/>
        <v>funded</v>
      </c>
    </row>
    <row r="2044" spans="1:22" ht="48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8316</v>
      </c>
      <c r="R2044" t="s">
        <v>8346</v>
      </c>
      <c r="S2044" s="14">
        <f t="shared" si="188"/>
        <v>42331.708032407405</v>
      </c>
      <c r="T2044" s="14">
        <f t="shared" si="189"/>
        <v>42391.708032407405</v>
      </c>
      <c r="U2044" s="64">
        <f t="shared" si="190"/>
        <v>60</v>
      </c>
      <c r="V2044" s="13" t="str">
        <f t="shared" si="191"/>
        <v>funded</v>
      </c>
    </row>
    <row r="2045" spans="1:22" ht="48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8316</v>
      </c>
      <c r="R2045" t="s">
        <v>8346</v>
      </c>
      <c r="S2045" s="14">
        <f t="shared" si="188"/>
        <v>42661.176817129628</v>
      </c>
      <c r="T2045" s="14">
        <f t="shared" si="189"/>
        <v>42715.207638888889</v>
      </c>
      <c r="U2045" s="64">
        <f t="shared" si="190"/>
        <v>54.030821759261016</v>
      </c>
      <c r="V2045" s="13" t="str">
        <f t="shared" si="191"/>
        <v>funded</v>
      </c>
    </row>
    <row r="2046" spans="1:22" ht="48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8316</v>
      </c>
      <c r="R2046" t="s">
        <v>8346</v>
      </c>
      <c r="S2046" s="14">
        <f t="shared" si="188"/>
        <v>42138.684189814812</v>
      </c>
      <c r="T2046" s="14">
        <f t="shared" si="189"/>
        <v>42168.684189814812</v>
      </c>
      <c r="U2046" s="64">
        <f t="shared" si="190"/>
        <v>30</v>
      </c>
      <c r="V2046" s="13" t="str">
        <f t="shared" si="191"/>
        <v>funded</v>
      </c>
    </row>
    <row r="2047" spans="1:22" ht="48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8316</v>
      </c>
      <c r="R2047" t="s">
        <v>8346</v>
      </c>
      <c r="S2047" s="14">
        <f t="shared" si="188"/>
        <v>41069.088506944441</v>
      </c>
      <c r="T2047" s="14">
        <f t="shared" si="189"/>
        <v>41099.088506944441</v>
      </c>
      <c r="U2047" s="64">
        <f t="shared" si="190"/>
        <v>30</v>
      </c>
      <c r="V2047" s="13" t="str">
        <f t="shared" si="191"/>
        <v>funded</v>
      </c>
    </row>
    <row r="2048" spans="1:22" ht="48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8316</v>
      </c>
      <c r="R2048" t="s">
        <v>8346</v>
      </c>
      <c r="S2048" s="14">
        <f t="shared" si="188"/>
        <v>41387.171805555554</v>
      </c>
      <c r="T2048" s="14">
        <f t="shared" si="189"/>
        <v>41417.171805555554</v>
      </c>
      <c r="U2048" s="64">
        <f t="shared" si="190"/>
        <v>30</v>
      </c>
      <c r="V2048" s="13" t="str">
        <f t="shared" si="191"/>
        <v>funded</v>
      </c>
    </row>
    <row r="2049" spans="1:22" ht="48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8316</v>
      </c>
      <c r="R2049" t="s">
        <v>8346</v>
      </c>
      <c r="S2049" s="14">
        <f t="shared" si="188"/>
        <v>42081.903587962966</v>
      </c>
      <c r="T2049" s="14">
        <f t="shared" si="189"/>
        <v>42111</v>
      </c>
      <c r="U2049" s="64">
        <f t="shared" si="190"/>
        <v>29.096412037033588</v>
      </c>
      <c r="V2049" s="13" t="str">
        <f t="shared" si="191"/>
        <v>funded</v>
      </c>
    </row>
    <row r="2050" spans="1:22" ht="48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>
        <f t="shared" si="187"/>
        <v>91.83</v>
      </c>
      <c r="Q2050" s="10" t="s">
        <v>8316</v>
      </c>
      <c r="R2050" t="s">
        <v>8346</v>
      </c>
      <c r="S2050" s="14">
        <f t="shared" si="188"/>
        <v>41387.651516203703</v>
      </c>
      <c r="T2050" s="14">
        <f t="shared" si="189"/>
        <v>41417.651516203703</v>
      </c>
      <c r="U2050" s="64">
        <f t="shared" si="190"/>
        <v>30</v>
      </c>
      <c r="V2050" s="13" t="str">
        <f t="shared" si="191"/>
        <v>funded</v>
      </c>
    </row>
    <row r="2051" spans="1:22" ht="16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ROUND(E2051/D2051*100,0)</f>
        <v>120</v>
      </c>
      <c r="P2051">
        <f t="shared" ref="P2051:P2114" si="193">IFERROR(ROUND(E2051/L2051,2), 0)</f>
        <v>80.989999999999995</v>
      </c>
      <c r="Q2051" s="10" t="s">
        <v>8316</v>
      </c>
      <c r="R2051" t="s">
        <v>8346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 s="64">
        <f t="shared" ref="U2051:V2114" si="196">T2051-S2051</f>
        <v>35.430289351854299</v>
      </c>
      <c r="V2051" s="13" t="str">
        <f t="shared" ref="V2051:V2114" si="197">IF(E2051&gt;=D2051, "funded", "underfunded")</f>
        <v>funded</v>
      </c>
    </row>
    <row r="2052" spans="1:22" ht="48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8316</v>
      </c>
      <c r="R2052" t="s">
        <v>8346</v>
      </c>
      <c r="S2052" s="14">
        <f t="shared" si="194"/>
        <v>42115.071504629625</v>
      </c>
      <c r="T2052" s="14">
        <f t="shared" si="195"/>
        <v>42155.071504629625</v>
      </c>
      <c r="U2052" s="64">
        <f t="shared" si="196"/>
        <v>40</v>
      </c>
      <c r="V2052" s="13" t="str">
        <f t="shared" si="197"/>
        <v>funded</v>
      </c>
    </row>
    <row r="2053" spans="1:22" ht="48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8316</v>
      </c>
      <c r="R2053" t="s">
        <v>8346</v>
      </c>
      <c r="S2053" s="14">
        <f t="shared" si="194"/>
        <v>41604.022418981483</v>
      </c>
      <c r="T2053" s="14">
        <f t="shared" si="195"/>
        <v>41634.022418981483</v>
      </c>
      <c r="U2053" s="64">
        <f t="shared" si="196"/>
        <v>30</v>
      </c>
      <c r="V2053" s="13" t="str">
        <f t="shared" si="197"/>
        <v>funded</v>
      </c>
    </row>
    <row r="2054" spans="1:22" ht="48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8316</v>
      </c>
      <c r="R2054" t="s">
        <v>8346</v>
      </c>
      <c r="S2054" s="14">
        <f t="shared" si="194"/>
        <v>42375.08394675926</v>
      </c>
      <c r="T2054" s="14">
        <f t="shared" si="195"/>
        <v>42420.08394675926</v>
      </c>
      <c r="U2054" s="64">
        <f t="shared" si="196"/>
        <v>45</v>
      </c>
      <c r="V2054" s="13" t="str">
        <f t="shared" si="197"/>
        <v>funded</v>
      </c>
    </row>
    <row r="2055" spans="1:22" ht="48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8316</v>
      </c>
      <c r="R2055" t="s">
        <v>8346</v>
      </c>
      <c r="S2055" s="14">
        <f t="shared" si="194"/>
        <v>42303.617488425924</v>
      </c>
      <c r="T2055" s="14">
        <f t="shared" si="195"/>
        <v>42333.659155092595</v>
      </c>
      <c r="U2055" s="64">
        <f t="shared" si="196"/>
        <v>30.041666666671517</v>
      </c>
      <c r="V2055" s="13" t="str">
        <f t="shared" si="197"/>
        <v>funded</v>
      </c>
    </row>
    <row r="2056" spans="1:22" ht="48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8316</v>
      </c>
      <c r="R2056" t="s">
        <v>8346</v>
      </c>
      <c r="S2056" s="14">
        <f t="shared" si="194"/>
        <v>41731.520949074074</v>
      </c>
      <c r="T2056" s="14">
        <f t="shared" si="195"/>
        <v>41761.520949074074</v>
      </c>
      <c r="U2056" s="64">
        <f t="shared" si="196"/>
        <v>30</v>
      </c>
      <c r="V2056" s="13" t="str">
        <f t="shared" si="197"/>
        <v>funded</v>
      </c>
    </row>
    <row r="2057" spans="1:22" ht="48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8316</v>
      </c>
      <c r="R2057" t="s">
        <v>8346</v>
      </c>
      <c r="S2057" s="14">
        <f t="shared" si="194"/>
        <v>41946.674108796295</v>
      </c>
      <c r="T2057" s="14">
        <f t="shared" si="195"/>
        <v>41976.166666666672</v>
      </c>
      <c r="U2057" s="64">
        <f t="shared" si="196"/>
        <v>29.492557870376913</v>
      </c>
      <c r="V2057" s="13" t="str">
        <f t="shared" si="197"/>
        <v>funded</v>
      </c>
    </row>
    <row r="2058" spans="1:22" ht="48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8316</v>
      </c>
      <c r="R2058" t="s">
        <v>8346</v>
      </c>
      <c r="S2058" s="14">
        <f t="shared" si="194"/>
        <v>41351.76090277778</v>
      </c>
      <c r="T2058" s="14">
        <f t="shared" si="195"/>
        <v>41381.76090277778</v>
      </c>
      <c r="U2058" s="64">
        <f t="shared" si="196"/>
        <v>30</v>
      </c>
      <c r="V2058" s="13" t="str">
        <f t="shared" si="197"/>
        <v>funded</v>
      </c>
    </row>
    <row r="2059" spans="1:22" ht="48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8316</v>
      </c>
      <c r="R2059" t="s">
        <v>8346</v>
      </c>
      <c r="S2059" s="14">
        <f t="shared" si="194"/>
        <v>42396.494583333333</v>
      </c>
      <c r="T2059" s="14">
        <f t="shared" si="195"/>
        <v>42426.494583333333</v>
      </c>
      <c r="U2059" s="64">
        <f t="shared" si="196"/>
        <v>30</v>
      </c>
      <c r="V2059" s="13" t="str">
        <f t="shared" si="197"/>
        <v>funded</v>
      </c>
    </row>
    <row r="2060" spans="1:22" ht="3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8316</v>
      </c>
      <c r="R2060" t="s">
        <v>8346</v>
      </c>
      <c r="S2060" s="14">
        <f t="shared" si="194"/>
        <v>42026.370717592596</v>
      </c>
      <c r="T2060" s="14">
        <f t="shared" si="195"/>
        <v>42065.833333333328</v>
      </c>
      <c r="U2060" s="64">
        <f t="shared" si="196"/>
        <v>39.462615740732872</v>
      </c>
      <c r="V2060" s="13" t="str">
        <f t="shared" si="197"/>
        <v>funded</v>
      </c>
    </row>
    <row r="2061" spans="1:22" ht="48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8316</v>
      </c>
      <c r="R2061" t="s">
        <v>8346</v>
      </c>
      <c r="S2061" s="14">
        <f t="shared" si="194"/>
        <v>42361.602476851855</v>
      </c>
      <c r="T2061" s="14">
        <f t="shared" si="195"/>
        <v>42400.915972222225</v>
      </c>
      <c r="U2061" s="64">
        <f t="shared" si="196"/>
        <v>39.313495370370219</v>
      </c>
      <c r="V2061" s="13" t="str">
        <f t="shared" si="197"/>
        <v>funded</v>
      </c>
    </row>
    <row r="2062" spans="1:22" ht="48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8316</v>
      </c>
      <c r="R2062" t="s">
        <v>8346</v>
      </c>
      <c r="S2062" s="14">
        <f t="shared" si="194"/>
        <v>41783.642939814818</v>
      </c>
      <c r="T2062" s="14">
        <f t="shared" si="195"/>
        <v>41843.642939814818</v>
      </c>
      <c r="U2062" s="64">
        <f t="shared" si="196"/>
        <v>60</v>
      </c>
      <c r="V2062" s="13" t="str">
        <f t="shared" si="197"/>
        <v>funded</v>
      </c>
    </row>
    <row r="2063" spans="1:22" ht="48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8316</v>
      </c>
      <c r="R2063" t="s">
        <v>8346</v>
      </c>
      <c r="S2063" s="14">
        <f t="shared" si="194"/>
        <v>42705.764513888891</v>
      </c>
      <c r="T2063" s="14">
        <f t="shared" si="195"/>
        <v>42735.764513888891</v>
      </c>
      <c r="U2063" s="64">
        <f t="shared" si="196"/>
        <v>30</v>
      </c>
      <c r="V2063" s="13" t="str">
        <f t="shared" si="197"/>
        <v>funded</v>
      </c>
    </row>
    <row r="2064" spans="1:22" ht="48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8316</v>
      </c>
      <c r="R2064" t="s">
        <v>8346</v>
      </c>
      <c r="S2064" s="14">
        <f t="shared" si="194"/>
        <v>42423.3830787037</v>
      </c>
      <c r="T2064" s="14">
        <f t="shared" si="195"/>
        <v>42453.341412037036</v>
      </c>
      <c r="U2064" s="64">
        <f t="shared" si="196"/>
        <v>29.958333333335759</v>
      </c>
      <c r="V2064" s="13" t="str">
        <f t="shared" si="197"/>
        <v>funded</v>
      </c>
    </row>
    <row r="2065" spans="1:22" ht="3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8316</v>
      </c>
      <c r="R2065" t="s">
        <v>8346</v>
      </c>
      <c r="S2065" s="14">
        <f t="shared" si="194"/>
        <v>42472.73265046296</v>
      </c>
      <c r="T2065" s="14">
        <f t="shared" si="195"/>
        <v>42505.73265046296</v>
      </c>
      <c r="U2065" s="64">
        <f t="shared" si="196"/>
        <v>33</v>
      </c>
      <c r="V2065" s="13" t="str">
        <f t="shared" si="197"/>
        <v>funded</v>
      </c>
    </row>
    <row r="2066" spans="1:22" ht="48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8316</v>
      </c>
      <c r="R2066" t="s">
        <v>8346</v>
      </c>
      <c r="S2066" s="14">
        <f t="shared" si="194"/>
        <v>41389.364849537036</v>
      </c>
      <c r="T2066" s="14">
        <f t="shared" si="195"/>
        <v>41425.5</v>
      </c>
      <c r="U2066" s="64">
        <f t="shared" si="196"/>
        <v>36.135150462963793</v>
      </c>
      <c r="V2066" s="13" t="str">
        <f t="shared" si="197"/>
        <v>funded</v>
      </c>
    </row>
    <row r="2067" spans="1:22" ht="48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8316</v>
      </c>
      <c r="R2067" t="s">
        <v>8346</v>
      </c>
      <c r="S2067" s="14">
        <f t="shared" si="194"/>
        <v>41603.333668981482</v>
      </c>
      <c r="T2067" s="14">
        <f t="shared" si="195"/>
        <v>41633.333668981482</v>
      </c>
      <c r="U2067" s="64">
        <f t="shared" si="196"/>
        <v>30</v>
      </c>
      <c r="V2067" s="13" t="str">
        <f t="shared" si="197"/>
        <v>funded</v>
      </c>
    </row>
    <row r="2068" spans="1:22" ht="48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8316</v>
      </c>
      <c r="R2068" t="s">
        <v>8346</v>
      </c>
      <c r="S2068" s="14">
        <f t="shared" si="194"/>
        <v>41844.771793981483</v>
      </c>
      <c r="T2068" s="14">
        <f t="shared" si="195"/>
        <v>41874.771793981483</v>
      </c>
      <c r="U2068" s="64">
        <f t="shared" si="196"/>
        <v>30</v>
      </c>
      <c r="V2068" s="13" t="str">
        <f t="shared" si="197"/>
        <v>funded</v>
      </c>
    </row>
    <row r="2069" spans="1:22" ht="48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8316</v>
      </c>
      <c r="R2069" t="s">
        <v>8346</v>
      </c>
      <c r="S2069" s="14">
        <f t="shared" si="194"/>
        <v>42115.853888888887</v>
      </c>
      <c r="T2069" s="14">
        <f t="shared" si="195"/>
        <v>42148.853888888887</v>
      </c>
      <c r="U2069" s="64">
        <f t="shared" si="196"/>
        <v>33</v>
      </c>
      <c r="V2069" s="13" t="str">
        <f t="shared" si="197"/>
        <v>funded</v>
      </c>
    </row>
    <row r="2070" spans="1:22" ht="48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8316</v>
      </c>
      <c r="R2070" t="s">
        <v>8346</v>
      </c>
      <c r="S2070" s="14">
        <f t="shared" si="194"/>
        <v>42633.841608796298</v>
      </c>
      <c r="T2070" s="14">
        <f t="shared" si="195"/>
        <v>42663.841608796298</v>
      </c>
      <c r="U2070" s="64">
        <f t="shared" si="196"/>
        <v>30</v>
      </c>
      <c r="V2070" s="13" t="str">
        <f t="shared" si="197"/>
        <v>funded</v>
      </c>
    </row>
    <row r="2071" spans="1:22" ht="48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8316</v>
      </c>
      <c r="R2071" t="s">
        <v>8346</v>
      </c>
      <c r="S2071" s="14">
        <f t="shared" si="194"/>
        <v>42340.972118055557</v>
      </c>
      <c r="T2071" s="14">
        <f t="shared" si="195"/>
        <v>42371.972118055557</v>
      </c>
      <c r="U2071" s="64">
        <f t="shared" si="196"/>
        <v>31</v>
      </c>
      <c r="V2071" s="13" t="str">
        <f t="shared" si="197"/>
        <v>funded</v>
      </c>
    </row>
    <row r="2072" spans="1:22" ht="48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8316</v>
      </c>
      <c r="R2072" t="s">
        <v>8346</v>
      </c>
      <c r="S2072" s="14">
        <f t="shared" si="194"/>
        <v>42519.6565162037</v>
      </c>
      <c r="T2072" s="14">
        <f t="shared" si="195"/>
        <v>42549.6565162037</v>
      </c>
      <c r="U2072" s="64">
        <f t="shared" si="196"/>
        <v>30</v>
      </c>
      <c r="V2072" s="13" t="str">
        <f t="shared" si="197"/>
        <v>funded</v>
      </c>
    </row>
    <row r="2073" spans="1:22" ht="48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8316</v>
      </c>
      <c r="R2073" t="s">
        <v>8346</v>
      </c>
      <c r="S2073" s="14">
        <f t="shared" si="194"/>
        <v>42600.278749999998</v>
      </c>
      <c r="T2073" s="14">
        <f t="shared" si="195"/>
        <v>42645.278749999998</v>
      </c>
      <c r="U2073" s="64">
        <f t="shared" si="196"/>
        <v>45</v>
      </c>
      <c r="V2073" s="13" t="str">
        <f t="shared" si="197"/>
        <v>funded</v>
      </c>
    </row>
    <row r="2074" spans="1:22" ht="48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8316</v>
      </c>
      <c r="R2074" t="s">
        <v>8346</v>
      </c>
      <c r="S2074" s="14">
        <f t="shared" si="194"/>
        <v>42467.581388888888</v>
      </c>
      <c r="T2074" s="14">
        <f t="shared" si="195"/>
        <v>42497.581388888888</v>
      </c>
      <c r="U2074" s="64">
        <f t="shared" si="196"/>
        <v>30</v>
      </c>
      <c r="V2074" s="13" t="str">
        <f t="shared" si="197"/>
        <v>funded</v>
      </c>
    </row>
    <row r="2075" spans="1:22" ht="48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8316</v>
      </c>
      <c r="R2075" t="s">
        <v>8346</v>
      </c>
      <c r="S2075" s="14">
        <f t="shared" si="194"/>
        <v>42087.668032407411</v>
      </c>
      <c r="T2075" s="14">
        <f t="shared" si="195"/>
        <v>42132.668032407411</v>
      </c>
      <c r="U2075" s="64">
        <f t="shared" si="196"/>
        <v>45</v>
      </c>
      <c r="V2075" s="13" t="str">
        <f t="shared" si="197"/>
        <v>funded</v>
      </c>
    </row>
    <row r="2076" spans="1:22" ht="3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8316</v>
      </c>
      <c r="R2076" t="s">
        <v>8346</v>
      </c>
      <c r="S2076" s="14">
        <f t="shared" si="194"/>
        <v>42466.826180555552</v>
      </c>
      <c r="T2076" s="14">
        <f t="shared" si="195"/>
        <v>42496.826180555552</v>
      </c>
      <c r="U2076" s="64">
        <f t="shared" si="196"/>
        <v>30</v>
      </c>
      <c r="V2076" s="13" t="str">
        <f t="shared" si="197"/>
        <v>funded</v>
      </c>
    </row>
    <row r="2077" spans="1:22" ht="48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8316</v>
      </c>
      <c r="R2077" t="s">
        <v>8346</v>
      </c>
      <c r="S2077" s="14">
        <f t="shared" si="194"/>
        <v>41450.681574074071</v>
      </c>
      <c r="T2077" s="14">
        <f t="shared" si="195"/>
        <v>41480.681574074071</v>
      </c>
      <c r="U2077" s="64">
        <f t="shared" si="196"/>
        <v>30</v>
      </c>
      <c r="V2077" s="13" t="str">
        <f t="shared" si="197"/>
        <v>funded</v>
      </c>
    </row>
    <row r="2078" spans="1:22" ht="3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8316</v>
      </c>
      <c r="R2078" t="s">
        <v>8346</v>
      </c>
      <c r="S2078" s="14">
        <f t="shared" si="194"/>
        <v>41803.880659722221</v>
      </c>
      <c r="T2078" s="14">
        <f t="shared" si="195"/>
        <v>41843.880659722221</v>
      </c>
      <c r="U2078" s="64">
        <f t="shared" si="196"/>
        <v>40</v>
      </c>
      <c r="V2078" s="13" t="str">
        <f t="shared" si="197"/>
        <v>funded</v>
      </c>
    </row>
    <row r="2079" spans="1:22" ht="48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8316</v>
      </c>
      <c r="R2079" t="s">
        <v>8346</v>
      </c>
      <c r="S2079" s="14">
        <f t="shared" si="194"/>
        <v>42103.042546296296</v>
      </c>
      <c r="T2079" s="14">
        <f t="shared" si="195"/>
        <v>42160.875</v>
      </c>
      <c r="U2079" s="64">
        <f t="shared" si="196"/>
        <v>57.832453703704232</v>
      </c>
      <c r="V2079" s="13" t="str">
        <f t="shared" si="197"/>
        <v>funded</v>
      </c>
    </row>
    <row r="2080" spans="1:22" ht="48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8316</v>
      </c>
      <c r="R2080" t="s">
        <v>8346</v>
      </c>
      <c r="S2080" s="14">
        <f t="shared" si="194"/>
        <v>42692.771493055552</v>
      </c>
      <c r="T2080" s="14">
        <f t="shared" si="195"/>
        <v>42722.771493055552</v>
      </c>
      <c r="U2080" s="64">
        <f t="shared" si="196"/>
        <v>30</v>
      </c>
      <c r="V2080" s="13" t="str">
        <f t="shared" si="197"/>
        <v>funded</v>
      </c>
    </row>
    <row r="2081" spans="1:22" ht="48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8316</v>
      </c>
      <c r="R2081" t="s">
        <v>8346</v>
      </c>
      <c r="S2081" s="14">
        <f t="shared" si="194"/>
        <v>42150.71056712963</v>
      </c>
      <c r="T2081" s="14">
        <f t="shared" si="195"/>
        <v>42180.791666666672</v>
      </c>
      <c r="U2081" s="64">
        <f t="shared" si="196"/>
        <v>30.081099537041155</v>
      </c>
      <c r="V2081" s="13" t="str">
        <f t="shared" si="197"/>
        <v>funded</v>
      </c>
    </row>
    <row r="2082" spans="1:22" ht="48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8316</v>
      </c>
      <c r="R2082" t="s">
        <v>8346</v>
      </c>
      <c r="S2082" s="14">
        <f t="shared" si="194"/>
        <v>42289.957175925927</v>
      </c>
      <c r="T2082" s="14">
        <f t="shared" si="195"/>
        <v>42319.998842592591</v>
      </c>
      <c r="U2082" s="64">
        <f t="shared" si="196"/>
        <v>30.041666666664241</v>
      </c>
      <c r="V2082" s="13" t="str">
        <f t="shared" si="197"/>
        <v>funded</v>
      </c>
    </row>
    <row r="2083" spans="1:22" ht="48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8322</v>
      </c>
      <c r="R2083" t="s">
        <v>8326</v>
      </c>
      <c r="S2083" s="14">
        <f t="shared" si="194"/>
        <v>41004.156886574077</v>
      </c>
      <c r="T2083" s="14">
        <f t="shared" si="195"/>
        <v>41045.207638888889</v>
      </c>
      <c r="U2083" s="64">
        <f t="shared" si="196"/>
        <v>41.050752314811689</v>
      </c>
      <c r="V2083" s="13" t="str">
        <f t="shared" si="197"/>
        <v>funded</v>
      </c>
    </row>
    <row r="2084" spans="1:22" ht="48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8322</v>
      </c>
      <c r="R2084" t="s">
        <v>8326</v>
      </c>
      <c r="S2084" s="14">
        <f t="shared" si="194"/>
        <v>40811.120324074072</v>
      </c>
      <c r="T2084" s="14">
        <f t="shared" si="195"/>
        <v>40871.161990740737</v>
      </c>
      <c r="U2084" s="64">
        <f t="shared" si="196"/>
        <v>60.041666666664241</v>
      </c>
      <c r="V2084" s="13" t="str">
        <f t="shared" si="197"/>
        <v>funded</v>
      </c>
    </row>
    <row r="2085" spans="1:22" ht="48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8322</v>
      </c>
      <c r="R2085" t="s">
        <v>8326</v>
      </c>
      <c r="S2085" s="14">
        <f t="shared" si="194"/>
        <v>41034.72216435185</v>
      </c>
      <c r="T2085" s="14">
        <f t="shared" si="195"/>
        <v>41064.72216435185</v>
      </c>
      <c r="U2085" s="64">
        <f t="shared" si="196"/>
        <v>30</v>
      </c>
      <c r="V2085" s="13" t="str">
        <f t="shared" si="197"/>
        <v>funded</v>
      </c>
    </row>
    <row r="2086" spans="1:22" ht="48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8322</v>
      </c>
      <c r="R2086" t="s">
        <v>8326</v>
      </c>
      <c r="S2086" s="14">
        <f t="shared" si="194"/>
        <v>41731.833124999997</v>
      </c>
      <c r="T2086" s="14">
        <f t="shared" si="195"/>
        <v>41763.290972222225</v>
      </c>
      <c r="U2086" s="64">
        <f t="shared" si="196"/>
        <v>31.457847222227429</v>
      </c>
      <c r="V2086" s="13" t="str">
        <f t="shared" si="197"/>
        <v>funded</v>
      </c>
    </row>
    <row r="2087" spans="1:22" ht="48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8322</v>
      </c>
      <c r="R2087" t="s">
        <v>8326</v>
      </c>
      <c r="S2087" s="14">
        <f t="shared" si="194"/>
        <v>41075.835497685184</v>
      </c>
      <c r="T2087" s="14">
        <f t="shared" si="195"/>
        <v>41105.835497685184</v>
      </c>
      <c r="U2087" s="64">
        <f t="shared" si="196"/>
        <v>30</v>
      </c>
      <c r="V2087" s="13" t="str">
        <f t="shared" si="197"/>
        <v>funded</v>
      </c>
    </row>
    <row r="2088" spans="1:22" ht="48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8322</v>
      </c>
      <c r="R2088" t="s">
        <v>8326</v>
      </c>
      <c r="S2088" s="14">
        <f t="shared" si="194"/>
        <v>40860.67050925926</v>
      </c>
      <c r="T2088" s="14">
        <f t="shared" si="195"/>
        <v>40891.207638888889</v>
      </c>
      <c r="U2088" s="64">
        <f t="shared" si="196"/>
        <v>30.537129629628907</v>
      </c>
      <c r="V2088" s="13" t="str">
        <f t="shared" si="197"/>
        <v>funded</v>
      </c>
    </row>
    <row r="2089" spans="1:22" ht="48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8322</v>
      </c>
      <c r="R2089" t="s">
        <v>8326</v>
      </c>
      <c r="S2089" s="14">
        <f t="shared" si="194"/>
        <v>40764.204375000001</v>
      </c>
      <c r="T2089" s="14">
        <f t="shared" si="195"/>
        <v>40794.204375000001</v>
      </c>
      <c r="U2089" s="64">
        <f t="shared" si="196"/>
        <v>30</v>
      </c>
      <c r="V2089" s="13" t="str">
        <f t="shared" si="197"/>
        <v>funded</v>
      </c>
    </row>
    <row r="2090" spans="1:22" ht="48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8322</v>
      </c>
      <c r="R2090" t="s">
        <v>8326</v>
      </c>
      <c r="S2090" s="14">
        <f t="shared" si="194"/>
        <v>40395.714722222219</v>
      </c>
      <c r="T2090" s="14">
        <f t="shared" si="195"/>
        <v>40432.165972222225</v>
      </c>
      <c r="U2090" s="64">
        <f t="shared" si="196"/>
        <v>36.45125000000553</v>
      </c>
      <c r="V2090" s="13" t="str">
        <f t="shared" si="197"/>
        <v>funded</v>
      </c>
    </row>
    <row r="2091" spans="1:22" ht="3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8322</v>
      </c>
      <c r="R2091" t="s">
        <v>8326</v>
      </c>
      <c r="S2091" s="14">
        <f t="shared" si="194"/>
        <v>41453.076319444444</v>
      </c>
      <c r="T2091" s="14">
        <f t="shared" si="195"/>
        <v>41488.076319444444</v>
      </c>
      <c r="U2091" s="64">
        <f t="shared" si="196"/>
        <v>35</v>
      </c>
      <c r="V2091" s="13" t="str">
        <f t="shared" si="197"/>
        <v>funded</v>
      </c>
    </row>
    <row r="2092" spans="1:22" ht="48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8322</v>
      </c>
      <c r="R2092" t="s">
        <v>8326</v>
      </c>
      <c r="S2092" s="14">
        <f t="shared" si="194"/>
        <v>41299.381423611114</v>
      </c>
      <c r="T2092" s="14">
        <f t="shared" si="195"/>
        <v>41329.381423611114</v>
      </c>
      <c r="U2092" s="64">
        <f t="shared" si="196"/>
        <v>30</v>
      </c>
      <c r="V2092" s="13" t="str">
        <f t="shared" si="197"/>
        <v>funded</v>
      </c>
    </row>
    <row r="2093" spans="1:22" ht="48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8322</v>
      </c>
      <c r="R2093" t="s">
        <v>8326</v>
      </c>
      <c r="S2093" s="14">
        <f t="shared" si="194"/>
        <v>40555.322662037033</v>
      </c>
      <c r="T2093" s="14">
        <f t="shared" si="195"/>
        <v>40603.833333333336</v>
      </c>
      <c r="U2093" s="64">
        <f t="shared" si="196"/>
        <v>48.510671296302462</v>
      </c>
      <c r="V2093" s="13" t="str">
        <f t="shared" si="197"/>
        <v>funded</v>
      </c>
    </row>
    <row r="2094" spans="1:22" ht="48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8322</v>
      </c>
      <c r="R2094" t="s">
        <v>8326</v>
      </c>
      <c r="S2094" s="14">
        <f t="shared" si="194"/>
        <v>40763.707546296297</v>
      </c>
      <c r="T2094" s="14">
        <f t="shared" si="195"/>
        <v>40823.707546296297</v>
      </c>
      <c r="U2094" s="64">
        <f t="shared" si="196"/>
        <v>60</v>
      </c>
      <c r="V2094" s="13" t="str">
        <f t="shared" si="197"/>
        <v>funded</v>
      </c>
    </row>
    <row r="2095" spans="1:22" ht="48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8322</v>
      </c>
      <c r="R2095" t="s">
        <v>8326</v>
      </c>
      <c r="S2095" s="14">
        <f t="shared" si="194"/>
        <v>41205.854537037041</v>
      </c>
      <c r="T2095" s="14">
        <f t="shared" si="195"/>
        <v>41265.896203703705</v>
      </c>
      <c r="U2095" s="64">
        <f t="shared" si="196"/>
        <v>60.041666666664241</v>
      </c>
      <c r="V2095" s="13" t="str">
        <f t="shared" si="197"/>
        <v>funded</v>
      </c>
    </row>
    <row r="2096" spans="1:22" ht="48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8322</v>
      </c>
      <c r="R2096" t="s">
        <v>8326</v>
      </c>
      <c r="S2096" s="14">
        <f t="shared" si="194"/>
        <v>40939.02002314815</v>
      </c>
      <c r="T2096" s="14">
        <f t="shared" si="195"/>
        <v>40973.125</v>
      </c>
      <c r="U2096" s="64">
        <f t="shared" si="196"/>
        <v>34.104976851849642</v>
      </c>
      <c r="V2096" s="13" t="str">
        <f t="shared" si="197"/>
        <v>funded</v>
      </c>
    </row>
    <row r="2097" spans="1:22" ht="48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8322</v>
      </c>
      <c r="R2097" t="s">
        <v>8326</v>
      </c>
      <c r="S2097" s="14">
        <f t="shared" si="194"/>
        <v>40758.733483796292</v>
      </c>
      <c r="T2097" s="14">
        <f t="shared" si="195"/>
        <v>40818.733483796292</v>
      </c>
      <c r="U2097" s="64">
        <f t="shared" si="196"/>
        <v>60</v>
      </c>
      <c r="V2097" s="13" t="str">
        <f t="shared" si="197"/>
        <v>funded</v>
      </c>
    </row>
    <row r="2098" spans="1:22" ht="48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8322</v>
      </c>
      <c r="R2098" t="s">
        <v>8326</v>
      </c>
      <c r="S2098" s="14">
        <f t="shared" si="194"/>
        <v>41192.758506944447</v>
      </c>
      <c r="T2098" s="14">
        <f t="shared" si="195"/>
        <v>41208.165972222225</v>
      </c>
      <c r="U2098" s="64">
        <f t="shared" si="196"/>
        <v>15.407465277778101</v>
      </c>
      <c r="V2098" s="13" t="str">
        <f t="shared" si="197"/>
        <v>funded</v>
      </c>
    </row>
    <row r="2099" spans="1:22" ht="48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8322</v>
      </c>
      <c r="R2099" t="s">
        <v>8326</v>
      </c>
      <c r="S2099" s="14">
        <f t="shared" si="194"/>
        <v>40818.58489583333</v>
      </c>
      <c r="T2099" s="14">
        <f t="shared" si="195"/>
        <v>40878.626562500001</v>
      </c>
      <c r="U2099" s="64">
        <f t="shared" si="196"/>
        <v>60.041666666671517</v>
      </c>
      <c r="V2099" s="13" t="str">
        <f t="shared" si="197"/>
        <v>funded</v>
      </c>
    </row>
    <row r="2100" spans="1:22" ht="48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8322</v>
      </c>
      <c r="R2100" t="s">
        <v>8326</v>
      </c>
      <c r="S2100" s="14">
        <f t="shared" si="194"/>
        <v>40946.11383101852</v>
      </c>
      <c r="T2100" s="14">
        <f t="shared" si="195"/>
        <v>40976.11383101852</v>
      </c>
      <c r="U2100" s="64">
        <f t="shared" si="196"/>
        <v>30</v>
      </c>
      <c r="V2100" s="13" t="str">
        <f t="shared" si="197"/>
        <v>funded</v>
      </c>
    </row>
    <row r="2101" spans="1:22" ht="16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8322</v>
      </c>
      <c r="R2101" t="s">
        <v>8326</v>
      </c>
      <c r="S2101" s="14">
        <f t="shared" si="194"/>
        <v>42173.746342592596</v>
      </c>
      <c r="T2101" s="14">
        <f t="shared" si="195"/>
        <v>42187.152777777781</v>
      </c>
      <c r="U2101" s="64">
        <f t="shared" si="196"/>
        <v>13.406435185184819</v>
      </c>
      <c r="V2101" s="13" t="str">
        <f t="shared" si="197"/>
        <v>funded</v>
      </c>
    </row>
    <row r="2102" spans="1:22" ht="48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8322</v>
      </c>
      <c r="R2102" t="s">
        <v>8326</v>
      </c>
      <c r="S2102" s="14">
        <f t="shared" si="194"/>
        <v>41074.834965277776</v>
      </c>
      <c r="T2102" s="14">
        <f t="shared" si="195"/>
        <v>41090.165972222225</v>
      </c>
      <c r="U2102" s="64">
        <f t="shared" si="196"/>
        <v>15.331006944448745</v>
      </c>
      <c r="V2102" s="13" t="str">
        <f t="shared" si="197"/>
        <v>funded</v>
      </c>
    </row>
    <row r="2103" spans="1:22" ht="48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8322</v>
      </c>
      <c r="R2103" t="s">
        <v>8326</v>
      </c>
      <c r="S2103" s="14">
        <f t="shared" si="194"/>
        <v>40892.149467592593</v>
      </c>
      <c r="T2103" s="14">
        <f t="shared" si="195"/>
        <v>40952.149467592593</v>
      </c>
      <c r="U2103" s="64">
        <f t="shared" si="196"/>
        <v>60</v>
      </c>
      <c r="V2103" s="13" t="str">
        <f t="shared" si="197"/>
        <v>funded</v>
      </c>
    </row>
    <row r="2104" spans="1:22" ht="48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8322</v>
      </c>
      <c r="R2104" t="s">
        <v>8326</v>
      </c>
      <c r="S2104" s="14">
        <f t="shared" si="194"/>
        <v>40638.868611111109</v>
      </c>
      <c r="T2104" s="14">
        <f t="shared" si="195"/>
        <v>40668.868611111109</v>
      </c>
      <c r="U2104" s="64">
        <f t="shared" si="196"/>
        <v>30</v>
      </c>
      <c r="V2104" s="13" t="str">
        <f t="shared" si="197"/>
        <v>funded</v>
      </c>
    </row>
    <row r="2105" spans="1:22" ht="3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8322</v>
      </c>
      <c r="R2105" t="s">
        <v>8326</v>
      </c>
      <c r="S2105" s="14">
        <f t="shared" si="194"/>
        <v>41192.754942129628</v>
      </c>
      <c r="T2105" s="14">
        <f t="shared" si="195"/>
        <v>41222.7966087963</v>
      </c>
      <c r="U2105" s="64">
        <f t="shared" si="196"/>
        <v>30.041666666671517</v>
      </c>
      <c r="V2105" s="13" t="str">
        <f t="shared" si="197"/>
        <v>funded</v>
      </c>
    </row>
    <row r="2106" spans="1:22" ht="48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8322</v>
      </c>
      <c r="R2106" t="s">
        <v>8326</v>
      </c>
      <c r="S2106" s="14">
        <f t="shared" si="194"/>
        <v>41394.074467592596</v>
      </c>
      <c r="T2106" s="14">
        <f t="shared" si="195"/>
        <v>41425</v>
      </c>
      <c r="U2106" s="64">
        <f t="shared" si="196"/>
        <v>30.925532407403807</v>
      </c>
      <c r="V2106" s="13" t="str">
        <f t="shared" si="197"/>
        <v>funded</v>
      </c>
    </row>
    <row r="2107" spans="1:22" ht="3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8322</v>
      </c>
      <c r="R2107" t="s">
        <v>8326</v>
      </c>
      <c r="S2107" s="14">
        <f t="shared" si="194"/>
        <v>41951.788807870369</v>
      </c>
      <c r="T2107" s="14">
        <f t="shared" si="195"/>
        <v>41964.166666666672</v>
      </c>
      <c r="U2107" s="64">
        <f t="shared" si="196"/>
        <v>12.377858796302462</v>
      </c>
      <c r="V2107" s="13" t="str">
        <f t="shared" si="197"/>
        <v>funded</v>
      </c>
    </row>
    <row r="2108" spans="1:22" ht="48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8322</v>
      </c>
      <c r="R2108" t="s">
        <v>8326</v>
      </c>
      <c r="S2108" s="14">
        <f t="shared" si="194"/>
        <v>41270.21497685185</v>
      </c>
      <c r="T2108" s="14">
        <f t="shared" si="195"/>
        <v>41300.21497685185</v>
      </c>
      <c r="U2108" s="64">
        <f t="shared" si="196"/>
        <v>30</v>
      </c>
      <c r="V2108" s="13" t="str">
        <f t="shared" si="197"/>
        <v>funded</v>
      </c>
    </row>
    <row r="2109" spans="1:22" ht="48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8322</v>
      </c>
      <c r="R2109" t="s">
        <v>8326</v>
      </c>
      <c r="S2109" s="14">
        <f t="shared" si="194"/>
        <v>41934.71056712963</v>
      </c>
      <c r="T2109" s="14">
        <f t="shared" si="195"/>
        <v>41955.752233796295</v>
      </c>
      <c r="U2109" s="64">
        <f t="shared" si="196"/>
        <v>21.041666666664241</v>
      </c>
      <c r="V2109" s="13" t="str">
        <f t="shared" si="197"/>
        <v>funded</v>
      </c>
    </row>
    <row r="2110" spans="1:22" ht="48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8322</v>
      </c>
      <c r="R2110" t="s">
        <v>8326</v>
      </c>
      <c r="S2110" s="14">
        <f t="shared" si="194"/>
        <v>41135.175694444442</v>
      </c>
      <c r="T2110" s="14">
        <f t="shared" si="195"/>
        <v>41162.163194444445</v>
      </c>
      <c r="U2110" s="64">
        <f t="shared" si="196"/>
        <v>26.98750000000291</v>
      </c>
      <c r="V2110" s="13" t="str">
        <f t="shared" si="197"/>
        <v>funded</v>
      </c>
    </row>
    <row r="2111" spans="1:22" ht="3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8322</v>
      </c>
      <c r="R2111" t="s">
        <v>8326</v>
      </c>
      <c r="S2111" s="14">
        <f t="shared" si="194"/>
        <v>42160.708530092597</v>
      </c>
      <c r="T2111" s="14">
        <f t="shared" si="195"/>
        <v>42190.708530092597</v>
      </c>
      <c r="U2111" s="64">
        <f t="shared" si="196"/>
        <v>30</v>
      </c>
      <c r="V2111" s="13" t="str">
        <f t="shared" si="197"/>
        <v>funded</v>
      </c>
    </row>
    <row r="2112" spans="1:22" ht="3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8322</v>
      </c>
      <c r="R2112" t="s">
        <v>8326</v>
      </c>
      <c r="S2112" s="14">
        <f t="shared" si="194"/>
        <v>41759.670937499999</v>
      </c>
      <c r="T2112" s="14">
        <f t="shared" si="195"/>
        <v>41787.207638888889</v>
      </c>
      <c r="U2112" s="64">
        <f t="shared" si="196"/>
        <v>27.536701388889924</v>
      </c>
      <c r="V2112" s="13" t="str">
        <f t="shared" si="197"/>
        <v>funded</v>
      </c>
    </row>
    <row r="2113" spans="1:22" ht="48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8322</v>
      </c>
      <c r="R2113" t="s">
        <v>8326</v>
      </c>
      <c r="S2113" s="14">
        <f t="shared" si="194"/>
        <v>40703.197048611109</v>
      </c>
      <c r="T2113" s="14">
        <f t="shared" si="195"/>
        <v>40770.041666666664</v>
      </c>
      <c r="U2113" s="64">
        <f t="shared" si="196"/>
        <v>66.844618055554747</v>
      </c>
      <c r="V2113" s="13" t="str">
        <f t="shared" si="197"/>
        <v>funded</v>
      </c>
    </row>
    <row r="2114" spans="1:22" ht="48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</v>
      </c>
      <c r="Q2114" s="10" t="s">
        <v>8322</v>
      </c>
      <c r="R2114" t="s">
        <v>8326</v>
      </c>
      <c r="S2114" s="14">
        <f t="shared" si="194"/>
        <v>41365.928159722222</v>
      </c>
      <c r="T2114" s="14">
        <f t="shared" si="195"/>
        <v>41379.928159722222</v>
      </c>
      <c r="U2114" s="64">
        <f t="shared" si="196"/>
        <v>14</v>
      </c>
      <c r="V2114" s="13" t="str">
        <f t="shared" si="197"/>
        <v>funded</v>
      </c>
    </row>
    <row r="2115" spans="1:22" ht="3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ROUND(E2115/D2115*100,0)</f>
        <v>105</v>
      </c>
      <c r="P2115">
        <f t="shared" ref="P2115:P2178" si="199">IFERROR(ROUND(E2115/L2115,2), 0)</f>
        <v>68.599999999999994</v>
      </c>
      <c r="Q2115" s="10" t="s">
        <v>8322</v>
      </c>
      <c r="R2115" t="s">
        <v>8326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 s="64">
        <f t="shared" ref="U2115:V2178" si="202">T2115-S2115</f>
        <v>35</v>
      </c>
      <c r="V2115" s="13" t="str">
        <f t="shared" ref="V2115:V2178" si="203">IF(E2115&gt;=D2115, "funded", "underfunded")</f>
        <v>funded</v>
      </c>
    </row>
    <row r="2116" spans="1:22" ht="48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8322</v>
      </c>
      <c r="R2116" t="s">
        <v>8326</v>
      </c>
      <c r="S2116" s="14">
        <f t="shared" si="200"/>
        <v>40458.815625000003</v>
      </c>
      <c r="T2116" s="14">
        <f t="shared" si="201"/>
        <v>40521.207638888889</v>
      </c>
      <c r="U2116" s="64">
        <f t="shared" si="202"/>
        <v>62.39201388888614</v>
      </c>
      <c r="V2116" s="13" t="str">
        <f t="shared" si="203"/>
        <v>funded</v>
      </c>
    </row>
    <row r="2117" spans="1:22" ht="48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8322</v>
      </c>
      <c r="R2117" t="s">
        <v>8326</v>
      </c>
      <c r="S2117" s="14">
        <f t="shared" si="200"/>
        <v>40564.081030092595</v>
      </c>
      <c r="T2117" s="14">
        <f t="shared" si="201"/>
        <v>40594.081030092595</v>
      </c>
      <c r="U2117" s="64">
        <f t="shared" si="202"/>
        <v>30</v>
      </c>
      <c r="V2117" s="13" t="str">
        <f t="shared" si="203"/>
        <v>funded</v>
      </c>
    </row>
    <row r="2118" spans="1:22" ht="48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8322</v>
      </c>
      <c r="R2118" t="s">
        <v>8326</v>
      </c>
      <c r="S2118" s="14">
        <f t="shared" si="200"/>
        <v>41136.777812500004</v>
      </c>
      <c r="T2118" s="14">
        <f t="shared" si="201"/>
        <v>41184.777812500004</v>
      </c>
      <c r="U2118" s="64">
        <f t="shared" si="202"/>
        <v>48</v>
      </c>
      <c r="V2118" s="13" t="str">
        <f t="shared" si="203"/>
        <v>funded</v>
      </c>
    </row>
    <row r="2119" spans="1:22" ht="48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8322</v>
      </c>
      <c r="R2119" t="s">
        <v>8326</v>
      </c>
      <c r="S2119" s="14">
        <f t="shared" si="200"/>
        <v>42290.059594907405</v>
      </c>
      <c r="T2119" s="14">
        <f t="shared" si="201"/>
        <v>42304.207638888889</v>
      </c>
      <c r="U2119" s="64">
        <f t="shared" si="202"/>
        <v>14.148043981484079</v>
      </c>
      <c r="V2119" s="13" t="str">
        <f t="shared" si="203"/>
        <v>funded</v>
      </c>
    </row>
    <row r="2120" spans="1:22" ht="3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8322</v>
      </c>
      <c r="R2120" t="s">
        <v>8326</v>
      </c>
      <c r="S2120" s="14">
        <f t="shared" si="200"/>
        <v>40718.839537037034</v>
      </c>
      <c r="T2120" s="14">
        <f t="shared" si="201"/>
        <v>40748.839537037034</v>
      </c>
      <c r="U2120" s="64">
        <f t="shared" si="202"/>
        <v>30</v>
      </c>
      <c r="V2120" s="13" t="str">
        <f t="shared" si="203"/>
        <v>funded</v>
      </c>
    </row>
    <row r="2121" spans="1:22" ht="48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8322</v>
      </c>
      <c r="R2121" t="s">
        <v>8326</v>
      </c>
      <c r="S2121" s="14">
        <f t="shared" si="200"/>
        <v>41107.130150462966</v>
      </c>
      <c r="T2121" s="14">
        <f t="shared" si="201"/>
        <v>41137.130150462966</v>
      </c>
      <c r="U2121" s="64">
        <f t="shared" si="202"/>
        <v>30</v>
      </c>
      <c r="V2121" s="13" t="str">
        <f t="shared" si="203"/>
        <v>funded</v>
      </c>
    </row>
    <row r="2122" spans="1:22" ht="48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8322</v>
      </c>
      <c r="R2122" t="s">
        <v>8326</v>
      </c>
      <c r="S2122" s="14">
        <f t="shared" si="200"/>
        <v>41591.964537037034</v>
      </c>
      <c r="T2122" s="14">
        <f t="shared" si="201"/>
        <v>41640.964537037034</v>
      </c>
      <c r="U2122" s="64">
        <f t="shared" si="202"/>
        <v>49</v>
      </c>
      <c r="V2122" s="13" t="str">
        <f t="shared" si="203"/>
        <v>funded</v>
      </c>
    </row>
    <row r="2123" spans="1:22" ht="3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8330</v>
      </c>
      <c r="R2123" t="s">
        <v>8331</v>
      </c>
      <c r="S2123" s="14">
        <f t="shared" si="200"/>
        <v>42716.7424537037</v>
      </c>
      <c r="T2123" s="14">
        <f t="shared" si="201"/>
        <v>42746.7424537037</v>
      </c>
      <c r="U2123" s="64">
        <f t="shared" si="202"/>
        <v>30</v>
      </c>
      <c r="V2123" s="13" t="str">
        <f t="shared" si="203"/>
        <v>underfunded</v>
      </c>
    </row>
    <row r="2124" spans="1:22" ht="3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0" t="s">
        <v>8330</v>
      </c>
      <c r="R2124" t="s">
        <v>8331</v>
      </c>
      <c r="S2124" s="14">
        <f t="shared" si="200"/>
        <v>42712.300567129627</v>
      </c>
      <c r="T2124" s="14">
        <f t="shared" si="201"/>
        <v>42742.300567129627</v>
      </c>
      <c r="U2124" s="64">
        <f t="shared" si="202"/>
        <v>30</v>
      </c>
      <c r="V2124" s="13" t="str">
        <f t="shared" si="203"/>
        <v>underfunded</v>
      </c>
    </row>
    <row r="2125" spans="1:22" ht="6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8330</v>
      </c>
      <c r="R2125" t="s">
        <v>8331</v>
      </c>
      <c r="S2125" s="14">
        <f t="shared" si="200"/>
        <v>40198.424849537041</v>
      </c>
      <c r="T2125" s="14">
        <f t="shared" si="201"/>
        <v>40252.290972222225</v>
      </c>
      <c r="U2125" s="64">
        <f t="shared" si="202"/>
        <v>53.866122685183655</v>
      </c>
      <c r="V2125" s="13" t="str">
        <f t="shared" si="203"/>
        <v>underfunded</v>
      </c>
    </row>
    <row r="2126" spans="1:22" ht="48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8330</v>
      </c>
      <c r="R2126" t="s">
        <v>8331</v>
      </c>
      <c r="S2126" s="14">
        <f t="shared" si="200"/>
        <v>40464.028182870366</v>
      </c>
      <c r="T2126" s="14">
        <f t="shared" si="201"/>
        <v>40512.208333333336</v>
      </c>
      <c r="U2126" s="64">
        <f t="shared" si="202"/>
        <v>48.180150462969323</v>
      </c>
      <c r="V2126" s="13" t="str">
        <f t="shared" si="203"/>
        <v>underfunded</v>
      </c>
    </row>
    <row r="2127" spans="1:22" ht="48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8330</v>
      </c>
      <c r="R2127" t="s">
        <v>8331</v>
      </c>
      <c r="S2127" s="14">
        <f t="shared" si="200"/>
        <v>42191.023530092592</v>
      </c>
      <c r="T2127" s="14">
        <f t="shared" si="201"/>
        <v>42221.023530092592</v>
      </c>
      <c r="U2127" s="64">
        <f t="shared" si="202"/>
        <v>30</v>
      </c>
      <c r="V2127" s="13" t="str">
        <f t="shared" si="203"/>
        <v>underfunded</v>
      </c>
    </row>
    <row r="2128" spans="1:22" ht="48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0" t="s">
        <v>8330</v>
      </c>
      <c r="R2128" t="s">
        <v>8331</v>
      </c>
      <c r="S2128" s="14">
        <f t="shared" si="200"/>
        <v>41951.973229166666</v>
      </c>
      <c r="T2128" s="14">
        <f t="shared" si="201"/>
        <v>41981.973229166666</v>
      </c>
      <c r="U2128" s="64">
        <f t="shared" si="202"/>
        <v>30</v>
      </c>
      <c r="V2128" s="13" t="str">
        <f t="shared" si="203"/>
        <v>underfunded</v>
      </c>
    </row>
    <row r="2129" spans="1:22" ht="16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8330</v>
      </c>
      <c r="R2129" t="s">
        <v>8331</v>
      </c>
      <c r="S2129" s="14">
        <f t="shared" si="200"/>
        <v>42045.50535879629</v>
      </c>
      <c r="T2129" s="14">
        <f t="shared" si="201"/>
        <v>42075.463692129633</v>
      </c>
      <c r="U2129" s="64">
        <f t="shared" si="202"/>
        <v>29.958333333343035</v>
      </c>
      <c r="V2129" s="13" t="str">
        <f t="shared" si="203"/>
        <v>underfunded</v>
      </c>
    </row>
    <row r="2130" spans="1:22" ht="48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0" t="s">
        <v>8330</v>
      </c>
      <c r="R2130" t="s">
        <v>8331</v>
      </c>
      <c r="S2130" s="14">
        <f t="shared" si="200"/>
        <v>41843.772789351853</v>
      </c>
      <c r="T2130" s="14">
        <f t="shared" si="201"/>
        <v>41903.772789351853</v>
      </c>
      <c r="U2130" s="64">
        <f t="shared" si="202"/>
        <v>60</v>
      </c>
      <c r="V2130" s="13" t="str">
        <f t="shared" si="203"/>
        <v>underfunded</v>
      </c>
    </row>
    <row r="2131" spans="1:22" ht="48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8330</v>
      </c>
      <c r="R2131" t="s">
        <v>8331</v>
      </c>
      <c r="S2131" s="14">
        <f t="shared" si="200"/>
        <v>42409.024305555555</v>
      </c>
      <c r="T2131" s="14">
        <f t="shared" si="201"/>
        <v>42439.024305555555</v>
      </c>
      <c r="U2131" s="64">
        <f t="shared" si="202"/>
        <v>30</v>
      </c>
      <c r="V2131" s="13" t="str">
        <f t="shared" si="203"/>
        <v>underfunded</v>
      </c>
    </row>
    <row r="2132" spans="1:22" ht="3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0" t="s">
        <v>8330</v>
      </c>
      <c r="R2132" t="s">
        <v>8331</v>
      </c>
      <c r="S2132" s="14">
        <f t="shared" si="200"/>
        <v>41832.086377314816</v>
      </c>
      <c r="T2132" s="14">
        <f t="shared" si="201"/>
        <v>41867.086377314816</v>
      </c>
      <c r="U2132" s="64">
        <f t="shared" si="202"/>
        <v>35</v>
      </c>
      <c r="V2132" s="13" t="str">
        <f t="shared" si="203"/>
        <v>underfunded</v>
      </c>
    </row>
    <row r="2133" spans="1:22" ht="48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8330</v>
      </c>
      <c r="R2133" t="s">
        <v>8331</v>
      </c>
      <c r="S2133" s="14">
        <f t="shared" si="200"/>
        <v>42167.207071759258</v>
      </c>
      <c r="T2133" s="14">
        <f t="shared" si="201"/>
        <v>42197.207071759258</v>
      </c>
      <c r="U2133" s="64">
        <f t="shared" si="202"/>
        <v>30</v>
      </c>
      <c r="V2133" s="13" t="str">
        <f t="shared" si="203"/>
        <v>underfunded</v>
      </c>
    </row>
    <row r="2134" spans="1:22" ht="48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8330</v>
      </c>
      <c r="R2134" t="s">
        <v>8331</v>
      </c>
      <c r="S2134" s="14">
        <f t="shared" si="200"/>
        <v>41643.487175925926</v>
      </c>
      <c r="T2134" s="14">
        <f t="shared" si="201"/>
        <v>41673.487175925926</v>
      </c>
      <c r="U2134" s="64">
        <f t="shared" si="202"/>
        <v>30</v>
      </c>
      <c r="V2134" s="13" t="str">
        <f t="shared" si="203"/>
        <v>underfunded</v>
      </c>
    </row>
    <row r="2135" spans="1:22" ht="48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8330</v>
      </c>
      <c r="R2135" t="s">
        <v>8331</v>
      </c>
      <c r="S2135" s="14">
        <f t="shared" si="200"/>
        <v>40619.097210648149</v>
      </c>
      <c r="T2135" s="14">
        <f t="shared" si="201"/>
        <v>40657.290972222225</v>
      </c>
      <c r="U2135" s="64">
        <f t="shared" si="202"/>
        <v>38.193761574075324</v>
      </c>
      <c r="V2135" s="13" t="str">
        <f t="shared" si="203"/>
        <v>underfunded</v>
      </c>
    </row>
    <row r="2136" spans="1:22" ht="48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8330</v>
      </c>
      <c r="R2136" t="s">
        <v>8331</v>
      </c>
      <c r="S2136" s="14">
        <f t="shared" si="200"/>
        <v>41361.886469907404</v>
      </c>
      <c r="T2136" s="14">
        <f t="shared" si="201"/>
        <v>41391.886469907404</v>
      </c>
      <c r="U2136" s="64">
        <f t="shared" si="202"/>
        <v>30</v>
      </c>
      <c r="V2136" s="13" t="str">
        <f t="shared" si="203"/>
        <v>underfunded</v>
      </c>
    </row>
    <row r="2137" spans="1:22" ht="48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8330</v>
      </c>
      <c r="R2137" t="s">
        <v>8331</v>
      </c>
      <c r="S2137" s="14">
        <f t="shared" si="200"/>
        <v>41156.963344907403</v>
      </c>
      <c r="T2137" s="14">
        <f t="shared" si="201"/>
        <v>41186.963344907403</v>
      </c>
      <c r="U2137" s="64">
        <f t="shared" si="202"/>
        <v>30</v>
      </c>
      <c r="V2137" s="13" t="str">
        <f t="shared" si="203"/>
        <v>underfunded</v>
      </c>
    </row>
    <row r="2138" spans="1:22" ht="48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0" t="s">
        <v>8330</v>
      </c>
      <c r="R2138" t="s">
        <v>8331</v>
      </c>
      <c r="S2138" s="14">
        <f t="shared" si="200"/>
        <v>41536.509097222224</v>
      </c>
      <c r="T2138" s="14">
        <f t="shared" si="201"/>
        <v>41566.509097222224</v>
      </c>
      <c r="U2138" s="64">
        <f t="shared" si="202"/>
        <v>30</v>
      </c>
      <c r="V2138" s="13" t="str">
        <f t="shared" si="203"/>
        <v>underfunded</v>
      </c>
    </row>
    <row r="2139" spans="1:22" ht="48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8330</v>
      </c>
      <c r="R2139" t="s">
        <v>8331</v>
      </c>
      <c r="S2139" s="14">
        <f t="shared" si="200"/>
        <v>41948.771168981482</v>
      </c>
      <c r="T2139" s="14">
        <f t="shared" si="201"/>
        <v>41978.771168981482</v>
      </c>
      <c r="U2139" s="64">
        <f t="shared" si="202"/>
        <v>30</v>
      </c>
      <c r="V2139" s="13" t="str">
        <f t="shared" si="203"/>
        <v>underfunded</v>
      </c>
    </row>
    <row r="2140" spans="1:22" ht="3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8330</v>
      </c>
      <c r="R2140" t="s">
        <v>8331</v>
      </c>
      <c r="S2140" s="14">
        <f t="shared" si="200"/>
        <v>41557.013182870374</v>
      </c>
      <c r="T2140" s="14">
        <f t="shared" si="201"/>
        <v>41587.054849537039</v>
      </c>
      <c r="U2140" s="64">
        <f t="shared" si="202"/>
        <v>30.041666666664241</v>
      </c>
      <c r="V2140" s="13" t="str">
        <f t="shared" si="203"/>
        <v>underfunded</v>
      </c>
    </row>
    <row r="2141" spans="1:22" ht="48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8330</v>
      </c>
      <c r="R2141" t="s">
        <v>8331</v>
      </c>
      <c r="S2141" s="14">
        <f t="shared" si="200"/>
        <v>42647.750092592592</v>
      </c>
      <c r="T2141" s="14">
        <f t="shared" si="201"/>
        <v>42677.750092592592</v>
      </c>
      <c r="U2141" s="64">
        <f t="shared" si="202"/>
        <v>30</v>
      </c>
      <c r="V2141" s="13" t="str">
        <f t="shared" si="203"/>
        <v>underfunded</v>
      </c>
    </row>
    <row r="2142" spans="1:22" ht="48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0" t="s">
        <v>8330</v>
      </c>
      <c r="R2142" t="s">
        <v>8331</v>
      </c>
      <c r="S2142" s="14">
        <f t="shared" si="200"/>
        <v>41255.833611111113</v>
      </c>
      <c r="T2142" s="14">
        <f t="shared" si="201"/>
        <v>41285.833611111113</v>
      </c>
      <c r="U2142" s="64">
        <f t="shared" si="202"/>
        <v>30</v>
      </c>
      <c r="V2142" s="13" t="str">
        <f t="shared" si="203"/>
        <v>underfunded</v>
      </c>
    </row>
    <row r="2143" spans="1:22" ht="48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0" t="s">
        <v>8330</v>
      </c>
      <c r="R2143" t="s">
        <v>8331</v>
      </c>
      <c r="S2143" s="14">
        <f t="shared" si="200"/>
        <v>41927.235636574071</v>
      </c>
      <c r="T2143" s="14">
        <f t="shared" si="201"/>
        <v>41957.277303240742</v>
      </c>
      <c r="U2143" s="64">
        <f t="shared" si="202"/>
        <v>30.041666666671517</v>
      </c>
      <c r="V2143" s="13" t="str">
        <f t="shared" si="203"/>
        <v>underfunded</v>
      </c>
    </row>
    <row r="2144" spans="1:22" ht="48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8330</v>
      </c>
      <c r="R2144" t="s">
        <v>8331</v>
      </c>
      <c r="S2144" s="14">
        <f t="shared" si="200"/>
        <v>42340.701504629629</v>
      </c>
      <c r="T2144" s="14">
        <f t="shared" si="201"/>
        <v>42368.701504629629</v>
      </c>
      <c r="U2144" s="64">
        <f t="shared" si="202"/>
        <v>28</v>
      </c>
      <c r="V2144" s="13" t="str">
        <f t="shared" si="203"/>
        <v>underfunded</v>
      </c>
    </row>
    <row r="2145" spans="1:22" ht="48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8330</v>
      </c>
      <c r="R2145" t="s">
        <v>8331</v>
      </c>
      <c r="S2145" s="14">
        <f t="shared" si="200"/>
        <v>40332.886712962965</v>
      </c>
      <c r="T2145" s="14">
        <f t="shared" si="201"/>
        <v>40380.791666666664</v>
      </c>
      <c r="U2145" s="64">
        <f t="shared" si="202"/>
        <v>47.904953703698993</v>
      </c>
      <c r="V2145" s="13" t="str">
        <f t="shared" si="203"/>
        <v>underfunded</v>
      </c>
    </row>
    <row r="2146" spans="1:22" ht="3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8330</v>
      </c>
      <c r="R2146" t="s">
        <v>8331</v>
      </c>
      <c r="S2146" s="14">
        <f t="shared" si="200"/>
        <v>41499.546759259261</v>
      </c>
      <c r="T2146" s="14">
        <f t="shared" si="201"/>
        <v>41531.546759259261</v>
      </c>
      <c r="U2146" s="64">
        <f t="shared" si="202"/>
        <v>32</v>
      </c>
      <c r="V2146" s="13" t="str">
        <f t="shared" si="203"/>
        <v>underfunded</v>
      </c>
    </row>
    <row r="2147" spans="1:22" ht="48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8330</v>
      </c>
      <c r="R2147" t="s">
        <v>8331</v>
      </c>
      <c r="S2147" s="14">
        <f t="shared" si="200"/>
        <v>41575.237430555557</v>
      </c>
      <c r="T2147" s="14">
        <f t="shared" si="201"/>
        <v>41605.279097222221</v>
      </c>
      <c r="U2147" s="64">
        <f t="shared" si="202"/>
        <v>30.041666666664241</v>
      </c>
      <c r="V2147" s="13" t="str">
        <f t="shared" si="203"/>
        <v>underfunded</v>
      </c>
    </row>
    <row r="2148" spans="1:22" ht="48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0" t="s">
        <v>8330</v>
      </c>
      <c r="R2148" t="s">
        <v>8331</v>
      </c>
      <c r="S2148" s="14">
        <f t="shared" si="200"/>
        <v>42397.679513888885</v>
      </c>
      <c r="T2148" s="14">
        <f t="shared" si="201"/>
        <v>42411.679513888885</v>
      </c>
      <c r="U2148" s="64">
        <f t="shared" si="202"/>
        <v>14</v>
      </c>
      <c r="V2148" s="13" t="str">
        <f t="shared" si="203"/>
        <v>underfunded</v>
      </c>
    </row>
    <row r="2149" spans="1:22" ht="16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8330</v>
      </c>
      <c r="R2149" t="s">
        <v>8331</v>
      </c>
      <c r="S2149" s="14">
        <f t="shared" si="200"/>
        <v>41927.295694444445</v>
      </c>
      <c r="T2149" s="14">
        <f t="shared" si="201"/>
        <v>41959.337361111116</v>
      </c>
      <c r="U2149" s="64">
        <f t="shared" si="202"/>
        <v>32.041666666671517</v>
      </c>
      <c r="V2149" s="13" t="str">
        <f t="shared" si="203"/>
        <v>underfunded</v>
      </c>
    </row>
    <row r="2150" spans="1:22" ht="48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8330</v>
      </c>
      <c r="R2150" t="s">
        <v>8331</v>
      </c>
      <c r="S2150" s="14">
        <f t="shared" si="200"/>
        <v>42066.733587962968</v>
      </c>
      <c r="T2150" s="14">
        <f t="shared" si="201"/>
        <v>42096.691921296297</v>
      </c>
      <c r="U2150" s="64">
        <f t="shared" si="202"/>
        <v>29.958333333328483</v>
      </c>
      <c r="V2150" s="13" t="str">
        <f t="shared" si="203"/>
        <v>underfunded</v>
      </c>
    </row>
    <row r="2151" spans="1:22" ht="48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0" t="s">
        <v>8330</v>
      </c>
      <c r="R2151" t="s">
        <v>8331</v>
      </c>
      <c r="S2151" s="14">
        <f t="shared" si="200"/>
        <v>40355.024953703702</v>
      </c>
      <c r="T2151" s="14">
        <f t="shared" si="201"/>
        <v>40390</v>
      </c>
      <c r="U2151" s="64">
        <f t="shared" si="202"/>
        <v>34.975046296298387</v>
      </c>
      <c r="V2151" s="13" t="str">
        <f t="shared" si="203"/>
        <v>underfunded</v>
      </c>
    </row>
    <row r="2152" spans="1:22" ht="16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8330</v>
      </c>
      <c r="R2152" t="s">
        <v>8331</v>
      </c>
      <c r="S2152" s="14">
        <f t="shared" si="200"/>
        <v>42534.284710648149</v>
      </c>
      <c r="T2152" s="14">
        <f t="shared" si="201"/>
        <v>42564.284710648149</v>
      </c>
      <c r="U2152" s="64">
        <f t="shared" si="202"/>
        <v>30</v>
      </c>
      <c r="V2152" s="13" t="str">
        <f t="shared" si="203"/>
        <v>underfunded</v>
      </c>
    </row>
    <row r="2153" spans="1:22" ht="48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0" t="s">
        <v>8330</v>
      </c>
      <c r="R2153" t="s">
        <v>8331</v>
      </c>
      <c r="S2153" s="14">
        <f t="shared" si="200"/>
        <v>42520.847384259265</v>
      </c>
      <c r="T2153" s="14">
        <f t="shared" si="201"/>
        <v>42550.847384259265</v>
      </c>
      <c r="U2153" s="64">
        <f t="shared" si="202"/>
        <v>30</v>
      </c>
      <c r="V2153" s="13" t="str">
        <f t="shared" si="203"/>
        <v>underfunded</v>
      </c>
    </row>
    <row r="2154" spans="1:22" ht="48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0" t="s">
        <v>8330</v>
      </c>
      <c r="R2154" t="s">
        <v>8331</v>
      </c>
      <c r="S2154" s="14">
        <f t="shared" si="200"/>
        <v>41683.832280092596</v>
      </c>
      <c r="T2154" s="14">
        <f t="shared" si="201"/>
        <v>41713.790613425925</v>
      </c>
      <c r="U2154" s="64">
        <f t="shared" si="202"/>
        <v>29.958333333328483</v>
      </c>
      <c r="V2154" s="13" t="str">
        <f t="shared" si="203"/>
        <v>underfunded</v>
      </c>
    </row>
    <row r="2155" spans="1:22" ht="48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0" t="s">
        <v>8330</v>
      </c>
      <c r="R2155" t="s">
        <v>8331</v>
      </c>
      <c r="S2155" s="14">
        <f t="shared" si="200"/>
        <v>41974.911087962959</v>
      </c>
      <c r="T2155" s="14">
        <f t="shared" si="201"/>
        <v>42014.332638888889</v>
      </c>
      <c r="U2155" s="64">
        <f t="shared" si="202"/>
        <v>39.421550925930205</v>
      </c>
      <c r="V2155" s="13" t="str">
        <f t="shared" si="203"/>
        <v>underfunded</v>
      </c>
    </row>
    <row r="2156" spans="1:22" ht="3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8330</v>
      </c>
      <c r="R2156" t="s">
        <v>8331</v>
      </c>
      <c r="S2156" s="14">
        <f t="shared" si="200"/>
        <v>41647.632256944446</v>
      </c>
      <c r="T2156" s="14">
        <f t="shared" si="201"/>
        <v>41667.632256944446</v>
      </c>
      <c r="U2156" s="64">
        <f t="shared" si="202"/>
        <v>20</v>
      </c>
      <c r="V2156" s="13" t="str">
        <f t="shared" si="203"/>
        <v>underfunded</v>
      </c>
    </row>
    <row r="2157" spans="1:22" ht="48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8330</v>
      </c>
      <c r="R2157" t="s">
        <v>8331</v>
      </c>
      <c r="S2157" s="14">
        <f t="shared" si="200"/>
        <v>42430.747511574074</v>
      </c>
      <c r="T2157" s="14">
        <f t="shared" si="201"/>
        <v>42460.70584490741</v>
      </c>
      <c r="U2157" s="64">
        <f t="shared" si="202"/>
        <v>29.958333333335759</v>
      </c>
      <c r="V2157" s="13" t="str">
        <f t="shared" si="203"/>
        <v>underfunded</v>
      </c>
    </row>
    <row r="2158" spans="1:22" ht="3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8330</v>
      </c>
      <c r="R2158" t="s">
        <v>8331</v>
      </c>
      <c r="S2158" s="14">
        <f t="shared" si="200"/>
        <v>41488.85423611111</v>
      </c>
      <c r="T2158" s="14">
        <f t="shared" si="201"/>
        <v>41533.85423611111</v>
      </c>
      <c r="U2158" s="64">
        <f t="shared" si="202"/>
        <v>45</v>
      </c>
      <c r="V2158" s="13" t="str">
        <f t="shared" si="203"/>
        <v>underfunded</v>
      </c>
    </row>
    <row r="2159" spans="1:22" ht="3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8330</v>
      </c>
      <c r="R2159" t="s">
        <v>8331</v>
      </c>
      <c r="S2159" s="14">
        <f t="shared" si="200"/>
        <v>42694.98128472222</v>
      </c>
      <c r="T2159" s="14">
        <f t="shared" si="201"/>
        <v>42727.332638888889</v>
      </c>
      <c r="U2159" s="64">
        <f t="shared" si="202"/>
        <v>32.351354166668898</v>
      </c>
      <c r="V2159" s="13" t="str">
        <f t="shared" si="203"/>
        <v>underfunded</v>
      </c>
    </row>
    <row r="2160" spans="1:22" ht="48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8330</v>
      </c>
      <c r="R2160" t="s">
        <v>8331</v>
      </c>
      <c r="S2160" s="14">
        <f t="shared" si="200"/>
        <v>41264.853865740741</v>
      </c>
      <c r="T2160" s="14">
        <f t="shared" si="201"/>
        <v>41309.853865740741</v>
      </c>
      <c r="U2160" s="64">
        <f t="shared" si="202"/>
        <v>45</v>
      </c>
      <c r="V2160" s="13" t="str">
        <f t="shared" si="203"/>
        <v>underfunded</v>
      </c>
    </row>
    <row r="2161" spans="1:22" ht="6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8330</v>
      </c>
      <c r="R2161" t="s">
        <v>8331</v>
      </c>
      <c r="S2161" s="14">
        <f t="shared" si="200"/>
        <v>40710.731180555551</v>
      </c>
      <c r="T2161" s="14">
        <f t="shared" si="201"/>
        <v>40740.731180555551</v>
      </c>
      <c r="U2161" s="64">
        <f t="shared" si="202"/>
        <v>30</v>
      </c>
      <c r="V2161" s="13" t="str">
        <f t="shared" si="203"/>
        <v>underfunded</v>
      </c>
    </row>
    <row r="2162" spans="1:22" ht="48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8330</v>
      </c>
      <c r="R2162" t="s">
        <v>8331</v>
      </c>
      <c r="S2162" s="14">
        <f t="shared" si="200"/>
        <v>41018.711863425924</v>
      </c>
      <c r="T2162" s="14">
        <f t="shared" si="201"/>
        <v>41048.711863425924</v>
      </c>
      <c r="U2162" s="64">
        <f t="shared" si="202"/>
        <v>30</v>
      </c>
      <c r="V2162" s="13" t="str">
        <f t="shared" si="203"/>
        <v>underfunded</v>
      </c>
    </row>
    <row r="2163" spans="1:22" ht="3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8322</v>
      </c>
      <c r="R2163" t="s">
        <v>8323</v>
      </c>
      <c r="S2163" s="14">
        <f t="shared" si="200"/>
        <v>42240.852534722217</v>
      </c>
      <c r="T2163" s="14">
        <f t="shared" si="201"/>
        <v>42270.852534722217</v>
      </c>
      <c r="U2163" s="64">
        <f t="shared" si="202"/>
        <v>30</v>
      </c>
      <c r="V2163" s="13" t="str">
        <f t="shared" si="203"/>
        <v>funded</v>
      </c>
    </row>
    <row r="2164" spans="1:22" ht="48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8322</v>
      </c>
      <c r="R2164" t="s">
        <v>8323</v>
      </c>
      <c r="S2164" s="14">
        <f t="shared" si="200"/>
        <v>41813.766099537039</v>
      </c>
      <c r="T2164" s="14">
        <f t="shared" si="201"/>
        <v>41844.766099537039</v>
      </c>
      <c r="U2164" s="64">
        <f t="shared" si="202"/>
        <v>31</v>
      </c>
      <c r="V2164" s="13" t="str">
        <f t="shared" si="203"/>
        <v>funded</v>
      </c>
    </row>
    <row r="2165" spans="1:22" ht="48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8322</v>
      </c>
      <c r="R2165" t="s">
        <v>8323</v>
      </c>
      <c r="S2165" s="14">
        <f t="shared" si="200"/>
        <v>42111.899537037039</v>
      </c>
      <c r="T2165" s="14">
        <f t="shared" si="201"/>
        <v>42163.159722222219</v>
      </c>
      <c r="U2165" s="64">
        <f t="shared" si="202"/>
        <v>51.26018518517958</v>
      </c>
      <c r="V2165" s="13" t="str">
        <f t="shared" si="203"/>
        <v>funded</v>
      </c>
    </row>
    <row r="2166" spans="1:22" ht="3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8322</v>
      </c>
      <c r="R2166" t="s">
        <v>8323</v>
      </c>
      <c r="S2166" s="14">
        <f t="shared" si="200"/>
        <v>42515.71775462963</v>
      </c>
      <c r="T2166" s="14">
        <f t="shared" si="201"/>
        <v>42546.165972222225</v>
      </c>
      <c r="U2166" s="64">
        <f t="shared" si="202"/>
        <v>30.448217592595029</v>
      </c>
      <c r="V2166" s="13" t="str">
        <f t="shared" si="203"/>
        <v>funded</v>
      </c>
    </row>
    <row r="2167" spans="1:22" ht="48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8322</v>
      </c>
      <c r="R2167" t="s">
        <v>8323</v>
      </c>
      <c r="S2167" s="14">
        <f t="shared" si="200"/>
        <v>42438.667071759264</v>
      </c>
      <c r="T2167" s="14">
        <f t="shared" si="201"/>
        <v>42468.625405092593</v>
      </c>
      <c r="U2167" s="64">
        <f t="shared" si="202"/>
        <v>29.958333333328483</v>
      </c>
      <c r="V2167" s="13" t="str">
        <f t="shared" si="203"/>
        <v>funded</v>
      </c>
    </row>
    <row r="2168" spans="1:22" ht="48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8322</v>
      </c>
      <c r="R2168" t="s">
        <v>8323</v>
      </c>
      <c r="S2168" s="14">
        <f t="shared" si="200"/>
        <v>41933.838171296295</v>
      </c>
      <c r="T2168" s="14">
        <f t="shared" si="201"/>
        <v>41978.879837962959</v>
      </c>
      <c r="U2168" s="64">
        <f t="shared" si="202"/>
        <v>45.041666666664241</v>
      </c>
      <c r="V2168" s="13" t="str">
        <f t="shared" si="203"/>
        <v>funded</v>
      </c>
    </row>
    <row r="2169" spans="1:22" ht="3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8322</v>
      </c>
      <c r="R2169" t="s">
        <v>8323</v>
      </c>
      <c r="S2169" s="14">
        <f t="shared" si="200"/>
        <v>41153.066400462965</v>
      </c>
      <c r="T2169" s="14">
        <f t="shared" si="201"/>
        <v>41167.066400462965</v>
      </c>
      <c r="U2169" s="64">
        <f t="shared" si="202"/>
        <v>14</v>
      </c>
      <c r="V2169" s="13" t="str">
        <f t="shared" si="203"/>
        <v>funded</v>
      </c>
    </row>
    <row r="2170" spans="1:22" ht="3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8322</v>
      </c>
      <c r="R2170" t="s">
        <v>8323</v>
      </c>
      <c r="S2170" s="14">
        <f t="shared" si="200"/>
        <v>42745.600243055553</v>
      </c>
      <c r="T2170" s="14">
        <f t="shared" si="201"/>
        <v>42776.208333333328</v>
      </c>
      <c r="U2170" s="64">
        <f t="shared" si="202"/>
        <v>30.608090277775773</v>
      </c>
      <c r="V2170" s="13" t="str">
        <f t="shared" si="203"/>
        <v>funded</v>
      </c>
    </row>
    <row r="2171" spans="1:22" ht="48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8322</v>
      </c>
      <c r="R2171" t="s">
        <v>8323</v>
      </c>
      <c r="S2171" s="14">
        <f t="shared" si="200"/>
        <v>42793.700821759259</v>
      </c>
      <c r="T2171" s="14">
        <f t="shared" si="201"/>
        <v>42796.700821759259</v>
      </c>
      <c r="U2171" s="64">
        <f t="shared" si="202"/>
        <v>3</v>
      </c>
      <c r="V2171" s="13" t="str">
        <f t="shared" si="203"/>
        <v>funded</v>
      </c>
    </row>
    <row r="2172" spans="1:22" ht="48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8322</v>
      </c>
      <c r="R2172" t="s">
        <v>8323</v>
      </c>
      <c r="S2172" s="14">
        <f t="shared" si="200"/>
        <v>42198.750254629631</v>
      </c>
      <c r="T2172" s="14">
        <f t="shared" si="201"/>
        <v>42238.750254629631</v>
      </c>
      <c r="U2172" s="64">
        <f t="shared" si="202"/>
        <v>40</v>
      </c>
      <c r="V2172" s="13" t="str">
        <f t="shared" si="203"/>
        <v>funded</v>
      </c>
    </row>
    <row r="2173" spans="1:22" ht="48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8322</v>
      </c>
      <c r="R2173" t="s">
        <v>8323</v>
      </c>
      <c r="S2173" s="14">
        <f t="shared" si="200"/>
        <v>42141.95711805555</v>
      </c>
      <c r="T2173" s="14">
        <f t="shared" si="201"/>
        <v>42177.208333333328</v>
      </c>
      <c r="U2173" s="64">
        <f t="shared" si="202"/>
        <v>35.251215277778101</v>
      </c>
      <c r="V2173" s="13" t="str">
        <f t="shared" si="203"/>
        <v>funded</v>
      </c>
    </row>
    <row r="2174" spans="1:22" ht="48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8322</v>
      </c>
      <c r="R2174" t="s">
        <v>8323</v>
      </c>
      <c r="S2174" s="14">
        <f t="shared" si="200"/>
        <v>42082.580092592587</v>
      </c>
      <c r="T2174" s="14">
        <f t="shared" si="201"/>
        <v>42112.580092592587</v>
      </c>
      <c r="U2174" s="64">
        <f t="shared" si="202"/>
        <v>30</v>
      </c>
      <c r="V2174" s="13" t="str">
        <f t="shared" si="203"/>
        <v>funded</v>
      </c>
    </row>
    <row r="2175" spans="1:22" ht="48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8322</v>
      </c>
      <c r="R2175" t="s">
        <v>8323</v>
      </c>
      <c r="S2175" s="14">
        <f t="shared" si="200"/>
        <v>41495.692627314813</v>
      </c>
      <c r="T2175" s="14">
        <f t="shared" si="201"/>
        <v>41527.165972222225</v>
      </c>
      <c r="U2175" s="64">
        <f t="shared" si="202"/>
        <v>31.473344907411956</v>
      </c>
      <c r="V2175" s="13" t="str">
        <f t="shared" si="203"/>
        <v>funded</v>
      </c>
    </row>
    <row r="2176" spans="1:22" ht="48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8322</v>
      </c>
      <c r="R2176" t="s">
        <v>8323</v>
      </c>
      <c r="S2176" s="14">
        <f t="shared" si="200"/>
        <v>42465.542905092589</v>
      </c>
      <c r="T2176" s="14">
        <f t="shared" si="201"/>
        <v>42495.542905092589</v>
      </c>
      <c r="U2176" s="64">
        <f t="shared" si="202"/>
        <v>30</v>
      </c>
      <c r="V2176" s="13" t="str">
        <f t="shared" si="203"/>
        <v>funded</v>
      </c>
    </row>
    <row r="2177" spans="1:22" ht="48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8322</v>
      </c>
      <c r="R2177" t="s">
        <v>8323</v>
      </c>
      <c r="S2177" s="14">
        <f t="shared" si="200"/>
        <v>42565.009097222224</v>
      </c>
      <c r="T2177" s="14">
        <f t="shared" si="201"/>
        <v>42572.009097222224</v>
      </c>
      <c r="U2177" s="64">
        <f t="shared" si="202"/>
        <v>7</v>
      </c>
      <c r="V2177" s="13" t="str">
        <f t="shared" si="203"/>
        <v>funded</v>
      </c>
    </row>
    <row r="2178" spans="1:22" ht="48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>
        <f t="shared" si="199"/>
        <v>88.75</v>
      </c>
      <c r="Q2178" s="10" t="s">
        <v>8322</v>
      </c>
      <c r="R2178" t="s">
        <v>8323</v>
      </c>
      <c r="S2178" s="14">
        <f t="shared" si="200"/>
        <v>42096.633206018523</v>
      </c>
      <c r="T2178" s="14">
        <f t="shared" si="201"/>
        <v>42126.633206018523</v>
      </c>
      <c r="U2178" s="64">
        <f t="shared" si="202"/>
        <v>30</v>
      </c>
      <c r="V2178" s="13" t="str">
        <f t="shared" si="203"/>
        <v>funded</v>
      </c>
    </row>
    <row r="2179" spans="1:22" ht="6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ROUND(E2179/D2179*100,0)</f>
        <v>100</v>
      </c>
      <c r="P2179">
        <f t="shared" ref="P2179:P2242" si="205">IFERROR(ROUND(E2179/L2179,2), 0)</f>
        <v>65.87</v>
      </c>
      <c r="Q2179" s="10" t="s">
        <v>8322</v>
      </c>
      <c r="R2179" t="s">
        <v>8323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 s="64">
        <f t="shared" ref="U2179:V2242" si="208">T2179-S2179</f>
        <v>25</v>
      </c>
      <c r="V2179" s="13" t="str">
        <f t="shared" ref="V2179:V2242" si="209">IF(E2179&gt;=D2179, "funded", "underfunded")</f>
        <v>funded</v>
      </c>
    </row>
    <row r="2180" spans="1:22" ht="48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8322</v>
      </c>
      <c r="R2180" t="s">
        <v>8323</v>
      </c>
      <c r="S2180" s="14">
        <f t="shared" si="206"/>
        <v>42723.63653935185</v>
      </c>
      <c r="T2180" s="14">
        <f t="shared" si="207"/>
        <v>42753.63653935185</v>
      </c>
      <c r="U2180" s="64">
        <f t="shared" si="208"/>
        <v>30</v>
      </c>
      <c r="V2180" s="13" t="str">
        <f t="shared" si="209"/>
        <v>funded</v>
      </c>
    </row>
    <row r="2181" spans="1:22" ht="3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8322</v>
      </c>
      <c r="R2181" t="s">
        <v>8323</v>
      </c>
      <c r="S2181" s="14">
        <f t="shared" si="206"/>
        <v>42075.171203703707</v>
      </c>
      <c r="T2181" s="14">
        <f t="shared" si="207"/>
        <v>42105.171203703707</v>
      </c>
      <c r="U2181" s="64">
        <f t="shared" si="208"/>
        <v>30</v>
      </c>
      <c r="V2181" s="13" t="str">
        <f t="shared" si="209"/>
        <v>funded</v>
      </c>
    </row>
    <row r="2182" spans="1:22" ht="3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8322</v>
      </c>
      <c r="R2182" t="s">
        <v>8323</v>
      </c>
      <c r="S2182" s="14">
        <f t="shared" si="206"/>
        <v>42279.669768518521</v>
      </c>
      <c r="T2182" s="14">
        <f t="shared" si="207"/>
        <v>42321.711435185185</v>
      </c>
      <c r="U2182" s="64">
        <f t="shared" si="208"/>
        <v>42.041666666664241</v>
      </c>
      <c r="V2182" s="13" t="str">
        <f t="shared" si="209"/>
        <v>funded</v>
      </c>
    </row>
    <row r="2183" spans="1:22" ht="48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8330</v>
      </c>
      <c r="R2183" t="s">
        <v>8348</v>
      </c>
      <c r="S2183" s="14">
        <f t="shared" si="206"/>
        <v>42773.005243055552</v>
      </c>
      <c r="T2183" s="14">
        <f t="shared" si="207"/>
        <v>42787.005243055552</v>
      </c>
      <c r="U2183" s="64">
        <f t="shared" si="208"/>
        <v>14</v>
      </c>
      <c r="V2183" s="13" t="str">
        <f t="shared" si="209"/>
        <v>funded</v>
      </c>
    </row>
    <row r="2184" spans="1:22" ht="3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8330</v>
      </c>
      <c r="R2184" t="s">
        <v>8348</v>
      </c>
      <c r="S2184" s="14">
        <f t="shared" si="206"/>
        <v>41879.900752314818</v>
      </c>
      <c r="T2184" s="14">
        <f t="shared" si="207"/>
        <v>41914.900752314818</v>
      </c>
      <c r="U2184" s="64">
        <f t="shared" si="208"/>
        <v>35</v>
      </c>
      <c r="V2184" s="13" t="str">
        <f t="shared" si="209"/>
        <v>funded</v>
      </c>
    </row>
    <row r="2185" spans="1:22" ht="48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8330</v>
      </c>
      <c r="R2185" t="s">
        <v>8348</v>
      </c>
      <c r="S2185" s="14">
        <f t="shared" si="206"/>
        <v>42745.365474537044</v>
      </c>
      <c r="T2185" s="14">
        <f t="shared" si="207"/>
        <v>42775.208333333328</v>
      </c>
      <c r="U2185" s="64">
        <f t="shared" si="208"/>
        <v>29.842858796284418</v>
      </c>
      <c r="V2185" s="13" t="str">
        <f t="shared" si="209"/>
        <v>funded</v>
      </c>
    </row>
    <row r="2186" spans="1:22" ht="48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8330</v>
      </c>
      <c r="R2186" t="s">
        <v>8348</v>
      </c>
      <c r="S2186" s="14">
        <f t="shared" si="206"/>
        <v>42380.690289351856</v>
      </c>
      <c r="T2186" s="14">
        <f t="shared" si="207"/>
        <v>42394.666666666672</v>
      </c>
      <c r="U2186" s="64">
        <f t="shared" si="208"/>
        <v>13.976377314815181</v>
      </c>
      <c r="V2186" s="13" t="str">
        <f t="shared" si="209"/>
        <v>funded</v>
      </c>
    </row>
    <row r="2187" spans="1:22" ht="48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8330</v>
      </c>
      <c r="R2187" t="s">
        <v>8348</v>
      </c>
      <c r="S2187" s="14">
        <f t="shared" si="206"/>
        <v>41319.349988425929</v>
      </c>
      <c r="T2187" s="14">
        <f t="shared" si="207"/>
        <v>41359.349988425929</v>
      </c>
      <c r="U2187" s="64">
        <f t="shared" si="208"/>
        <v>40</v>
      </c>
      <c r="V2187" s="13" t="str">
        <f t="shared" si="209"/>
        <v>funded</v>
      </c>
    </row>
    <row r="2188" spans="1:22" ht="3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8330</v>
      </c>
      <c r="R2188" t="s">
        <v>8348</v>
      </c>
      <c r="S2188" s="14">
        <f t="shared" si="206"/>
        <v>42583.615081018521</v>
      </c>
      <c r="T2188" s="14">
        <f t="shared" si="207"/>
        <v>42620.083333333328</v>
      </c>
      <c r="U2188" s="64">
        <f t="shared" si="208"/>
        <v>36.468252314807614</v>
      </c>
      <c r="V2188" s="13" t="str">
        <f t="shared" si="209"/>
        <v>funded</v>
      </c>
    </row>
    <row r="2189" spans="1:22" ht="48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8330</v>
      </c>
      <c r="R2189" t="s">
        <v>8348</v>
      </c>
      <c r="S2189" s="14">
        <f t="shared" si="206"/>
        <v>42068.209097222221</v>
      </c>
      <c r="T2189" s="14">
        <f t="shared" si="207"/>
        <v>42097.165972222225</v>
      </c>
      <c r="U2189" s="64">
        <f t="shared" si="208"/>
        <v>28.956875000003492</v>
      </c>
      <c r="V2189" s="13" t="str">
        <f t="shared" si="209"/>
        <v>funded</v>
      </c>
    </row>
    <row r="2190" spans="1:22" ht="48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8330</v>
      </c>
      <c r="R2190" t="s">
        <v>8348</v>
      </c>
      <c r="S2190" s="14">
        <f t="shared" si="206"/>
        <v>42633.586122685185</v>
      </c>
      <c r="T2190" s="14">
        <f t="shared" si="207"/>
        <v>42668.708333333328</v>
      </c>
      <c r="U2190" s="64">
        <f t="shared" si="208"/>
        <v>35.122210648143664</v>
      </c>
      <c r="V2190" s="13" t="str">
        <f t="shared" si="209"/>
        <v>funded</v>
      </c>
    </row>
    <row r="2191" spans="1:22" ht="48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8330</v>
      </c>
      <c r="R2191" t="s">
        <v>8348</v>
      </c>
      <c r="S2191" s="14">
        <f t="shared" si="206"/>
        <v>42467.788194444445</v>
      </c>
      <c r="T2191" s="14">
        <f t="shared" si="207"/>
        <v>42481.916666666672</v>
      </c>
      <c r="U2191" s="64">
        <f t="shared" si="208"/>
        <v>14.128472222226264</v>
      </c>
      <c r="V2191" s="13" t="str">
        <f t="shared" si="209"/>
        <v>funded</v>
      </c>
    </row>
    <row r="2192" spans="1:22" ht="48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8330</v>
      </c>
      <c r="R2192" t="s">
        <v>8348</v>
      </c>
      <c r="S2192" s="14">
        <f t="shared" si="206"/>
        <v>42417.625046296293</v>
      </c>
      <c r="T2192" s="14">
        <f t="shared" si="207"/>
        <v>42452.290972222225</v>
      </c>
      <c r="U2192" s="64">
        <f t="shared" si="208"/>
        <v>34.665925925932243</v>
      </c>
      <c r="V2192" s="13" t="str">
        <f t="shared" si="209"/>
        <v>funded</v>
      </c>
    </row>
    <row r="2193" spans="1:22" ht="48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8330</v>
      </c>
      <c r="R2193" t="s">
        <v>8348</v>
      </c>
      <c r="S2193" s="14">
        <f t="shared" si="206"/>
        <v>42768.833645833336</v>
      </c>
      <c r="T2193" s="14">
        <f t="shared" si="207"/>
        <v>42780.833645833336</v>
      </c>
      <c r="U2193" s="64">
        <f t="shared" si="208"/>
        <v>12</v>
      </c>
      <c r="V2193" s="13" t="str">
        <f t="shared" si="209"/>
        <v>funded</v>
      </c>
    </row>
    <row r="2194" spans="1:22" ht="48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8330</v>
      </c>
      <c r="R2194" t="s">
        <v>8348</v>
      </c>
      <c r="S2194" s="14">
        <f t="shared" si="206"/>
        <v>42691.8512037037</v>
      </c>
      <c r="T2194" s="14">
        <f t="shared" si="207"/>
        <v>42719.958333333328</v>
      </c>
      <c r="U2194" s="64">
        <f t="shared" si="208"/>
        <v>28.107129629628616</v>
      </c>
      <c r="V2194" s="13" t="str">
        <f t="shared" si="209"/>
        <v>funded</v>
      </c>
    </row>
    <row r="2195" spans="1:22" ht="48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8330</v>
      </c>
      <c r="R2195" t="s">
        <v>8348</v>
      </c>
      <c r="S2195" s="14">
        <f t="shared" si="206"/>
        <v>42664.405925925923</v>
      </c>
      <c r="T2195" s="14">
        <f t="shared" si="207"/>
        <v>42695.207638888889</v>
      </c>
      <c r="U2195" s="64">
        <f t="shared" si="208"/>
        <v>30.801712962966121</v>
      </c>
      <c r="V2195" s="13" t="str">
        <f t="shared" si="209"/>
        <v>funded</v>
      </c>
    </row>
    <row r="2196" spans="1:22" ht="48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8330</v>
      </c>
      <c r="R2196" t="s">
        <v>8348</v>
      </c>
      <c r="S2196" s="14">
        <f t="shared" si="206"/>
        <v>42425.757986111115</v>
      </c>
      <c r="T2196" s="14">
        <f t="shared" si="207"/>
        <v>42455.716319444444</v>
      </c>
      <c r="U2196" s="64">
        <f t="shared" si="208"/>
        <v>29.958333333328483</v>
      </c>
      <c r="V2196" s="13" t="str">
        <f t="shared" si="209"/>
        <v>funded</v>
      </c>
    </row>
    <row r="2197" spans="1:22" ht="3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8330</v>
      </c>
      <c r="R2197" t="s">
        <v>8348</v>
      </c>
      <c r="S2197" s="14">
        <f t="shared" si="206"/>
        <v>42197.771990740745</v>
      </c>
      <c r="T2197" s="14">
        <f t="shared" si="207"/>
        <v>42227.771990740745</v>
      </c>
      <c r="U2197" s="64">
        <f t="shared" si="208"/>
        <v>30</v>
      </c>
      <c r="V2197" s="13" t="str">
        <f t="shared" si="209"/>
        <v>funded</v>
      </c>
    </row>
    <row r="2198" spans="1:22" ht="3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8330</v>
      </c>
      <c r="R2198" t="s">
        <v>8348</v>
      </c>
      <c r="S2198" s="14">
        <f t="shared" si="206"/>
        <v>42675.487291666665</v>
      </c>
      <c r="T2198" s="14">
        <f t="shared" si="207"/>
        <v>42706.291666666672</v>
      </c>
      <c r="U2198" s="64">
        <f t="shared" si="208"/>
        <v>30.804375000006985</v>
      </c>
      <c r="V2198" s="13" t="str">
        <f t="shared" si="209"/>
        <v>funded</v>
      </c>
    </row>
    <row r="2199" spans="1:22" ht="48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8330</v>
      </c>
      <c r="R2199" t="s">
        <v>8348</v>
      </c>
      <c r="S2199" s="14">
        <f t="shared" si="206"/>
        <v>42033.584016203706</v>
      </c>
      <c r="T2199" s="14">
        <f t="shared" si="207"/>
        <v>42063.584016203706</v>
      </c>
      <c r="U2199" s="64">
        <f t="shared" si="208"/>
        <v>30</v>
      </c>
      <c r="V2199" s="13" t="str">
        <f t="shared" si="209"/>
        <v>funded</v>
      </c>
    </row>
    <row r="2200" spans="1:22" ht="48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8330</v>
      </c>
      <c r="R2200" t="s">
        <v>8348</v>
      </c>
      <c r="S2200" s="14">
        <f t="shared" si="206"/>
        <v>42292.513888888891</v>
      </c>
      <c r="T2200" s="14">
        <f t="shared" si="207"/>
        <v>42322.555555555555</v>
      </c>
      <c r="U2200" s="64">
        <f t="shared" si="208"/>
        <v>30.041666666664241</v>
      </c>
      <c r="V2200" s="13" t="str">
        <f t="shared" si="209"/>
        <v>funded</v>
      </c>
    </row>
    <row r="2201" spans="1:22" ht="3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8330</v>
      </c>
      <c r="R2201" t="s">
        <v>8348</v>
      </c>
      <c r="S2201" s="14">
        <f t="shared" si="206"/>
        <v>42262.416643518518</v>
      </c>
      <c r="T2201" s="14">
        <f t="shared" si="207"/>
        <v>42292.416643518518</v>
      </c>
      <c r="U2201" s="64">
        <f t="shared" si="208"/>
        <v>30</v>
      </c>
      <c r="V2201" s="13" t="str">
        <f t="shared" si="209"/>
        <v>funded</v>
      </c>
    </row>
    <row r="2202" spans="1:22" ht="48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8330</v>
      </c>
      <c r="R2202" t="s">
        <v>8348</v>
      </c>
      <c r="S2202" s="14">
        <f t="shared" si="206"/>
        <v>42163.625787037032</v>
      </c>
      <c r="T2202" s="14">
        <f t="shared" si="207"/>
        <v>42191.125</v>
      </c>
      <c r="U2202" s="64">
        <f t="shared" si="208"/>
        <v>27.499212962968159</v>
      </c>
      <c r="V2202" s="13" t="str">
        <f t="shared" si="209"/>
        <v>funded</v>
      </c>
    </row>
    <row r="2203" spans="1:22" ht="48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8322</v>
      </c>
      <c r="R2203" t="s">
        <v>8327</v>
      </c>
      <c r="S2203" s="14">
        <f t="shared" si="206"/>
        <v>41276.846817129634</v>
      </c>
      <c r="T2203" s="14">
        <f t="shared" si="207"/>
        <v>41290.846817129634</v>
      </c>
      <c r="U2203" s="64">
        <f t="shared" si="208"/>
        <v>14</v>
      </c>
      <c r="V2203" s="13" t="str">
        <f t="shared" si="209"/>
        <v>funded</v>
      </c>
    </row>
    <row r="2204" spans="1:22" ht="3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8322</v>
      </c>
      <c r="R2204" t="s">
        <v>8327</v>
      </c>
      <c r="S2204" s="14">
        <f t="shared" si="206"/>
        <v>41184.849166666667</v>
      </c>
      <c r="T2204" s="14">
        <f t="shared" si="207"/>
        <v>41214.849166666667</v>
      </c>
      <c r="U2204" s="64">
        <f t="shared" si="208"/>
        <v>30</v>
      </c>
      <c r="V2204" s="13" t="str">
        <f t="shared" si="209"/>
        <v>funded</v>
      </c>
    </row>
    <row r="2205" spans="1:22" ht="48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8322</v>
      </c>
      <c r="R2205" t="s">
        <v>8327</v>
      </c>
      <c r="S2205" s="14">
        <f t="shared" si="206"/>
        <v>42241.85974537037</v>
      </c>
      <c r="T2205" s="14">
        <f t="shared" si="207"/>
        <v>42271.85974537037</v>
      </c>
      <c r="U2205" s="64">
        <f t="shared" si="208"/>
        <v>30</v>
      </c>
      <c r="V2205" s="13" t="str">
        <f t="shared" si="209"/>
        <v>funded</v>
      </c>
    </row>
    <row r="2206" spans="1:22" ht="48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8322</v>
      </c>
      <c r="R2206" t="s">
        <v>8327</v>
      </c>
      <c r="S2206" s="14">
        <f t="shared" si="206"/>
        <v>41312.311562499999</v>
      </c>
      <c r="T2206" s="14">
        <f t="shared" si="207"/>
        <v>41342.311562499999</v>
      </c>
      <c r="U2206" s="64">
        <f t="shared" si="208"/>
        <v>30</v>
      </c>
      <c r="V2206" s="13" t="str">
        <f t="shared" si="209"/>
        <v>funded</v>
      </c>
    </row>
    <row r="2207" spans="1:22" ht="48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8322</v>
      </c>
      <c r="R2207" t="s">
        <v>8327</v>
      </c>
      <c r="S2207" s="14">
        <f t="shared" si="206"/>
        <v>41031.82163194444</v>
      </c>
      <c r="T2207" s="14">
        <f t="shared" si="207"/>
        <v>41061.82163194444</v>
      </c>
      <c r="U2207" s="64">
        <f t="shared" si="208"/>
        <v>30</v>
      </c>
      <c r="V2207" s="13" t="str">
        <f t="shared" si="209"/>
        <v>funded</v>
      </c>
    </row>
    <row r="2208" spans="1:22" ht="48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8322</v>
      </c>
      <c r="R2208" t="s">
        <v>8327</v>
      </c>
      <c r="S2208" s="14">
        <f t="shared" si="206"/>
        <v>40997.257222222222</v>
      </c>
      <c r="T2208" s="14">
        <f t="shared" si="207"/>
        <v>41015.257222222222</v>
      </c>
      <c r="U2208" s="64">
        <f t="shared" si="208"/>
        <v>18</v>
      </c>
      <c r="V2208" s="13" t="str">
        <f t="shared" si="209"/>
        <v>funded</v>
      </c>
    </row>
    <row r="2209" spans="1:22" ht="48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8322</v>
      </c>
      <c r="R2209" t="s">
        <v>8327</v>
      </c>
      <c r="S2209" s="14">
        <f t="shared" si="206"/>
        <v>41564.194131944445</v>
      </c>
      <c r="T2209" s="14">
        <f t="shared" si="207"/>
        <v>41594.235798611109</v>
      </c>
      <c r="U2209" s="64">
        <f t="shared" si="208"/>
        <v>30.041666666664241</v>
      </c>
      <c r="V2209" s="13" t="str">
        <f t="shared" si="209"/>
        <v>funded</v>
      </c>
    </row>
    <row r="2210" spans="1:22" ht="48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8322</v>
      </c>
      <c r="R2210" t="s">
        <v>8327</v>
      </c>
      <c r="S2210" s="14">
        <f t="shared" si="206"/>
        <v>40946.882245370369</v>
      </c>
      <c r="T2210" s="14">
        <f t="shared" si="207"/>
        <v>41006.166666666664</v>
      </c>
      <c r="U2210" s="64">
        <f t="shared" si="208"/>
        <v>59.284421296295477</v>
      </c>
      <c r="V2210" s="13" t="str">
        <f t="shared" si="209"/>
        <v>funded</v>
      </c>
    </row>
    <row r="2211" spans="1:22" ht="3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8322</v>
      </c>
      <c r="R2211" t="s">
        <v>8327</v>
      </c>
      <c r="S2211" s="14">
        <f t="shared" si="206"/>
        <v>41732.479675925926</v>
      </c>
      <c r="T2211" s="14">
        <f t="shared" si="207"/>
        <v>41743.958333333336</v>
      </c>
      <c r="U2211" s="64">
        <f t="shared" si="208"/>
        <v>11.478657407409628</v>
      </c>
      <c r="V2211" s="13" t="str">
        <f t="shared" si="209"/>
        <v>funded</v>
      </c>
    </row>
    <row r="2212" spans="1:22" ht="48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8322</v>
      </c>
      <c r="R2212" t="s">
        <v>8327</v>
      </c>
      <c r="S2212" s="14">
        <f t="shared" si="206"/>
        <v>40956.066087962965</v>
      </c>
      <c r="T2212" s="14">
        <f t="shared" si="207"/>
        <v>41013.73333333333</v>
      </c>
      <c r="U2212" s="64">
        <f t="shared" si="208"/>
        <v>57.667245370364981</v>
      </c>
      <c r="V2212" s="13" t="str">
        <f t="shared" si="209"/>
        <v>funded</v>
      </c>
    </row>
    <row r="2213" spans="1:22" ht="48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8322</v>
      </c>
      <c r="R2213" t="s">
        <v>8327</v>
      </c>
      <c r="S2213" s="14">
        <f t="shared" si="206"/>
        <v>41716.785011574073</v>
      </c>
      <c r="T2213" s="14">
        <f t="shared" si="207"/>
        <v>41739.290972222225</v>
      </c>
      <c r="U2213" s="64">
        <f t="shared" si="208"/>
        <v>22.505960648151813</v>
      </c>
      <c r="V2213" s="13" t="str">
        <f t="shared" si="209"/>
        <v>funded</v>
      </c>
    </row>
    <row r="2214" spans="1:22" ht="48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8322</v>
      </c>
      <c r="R2214" t="s">
        <v>8327</v>
      </c>
      <c r="S2214" s="14">
        <f t="shared" si="206"/>
        <v>41548.747418981482</v>
      </c>
      <c r="T2214" s="14">
        <f t="shared" si="207"/>
        <v>41582.041666666664</v>
      </c>
      <c r="U2214" s="64">
        <f t="shared" si="208"/>
        <v>33.294247685182199</v>
      </c>
      <c r="V2214" s="13" t="str">
        <f t="shared" si="209"/>
        <v>funded</v>
      </c>
    </row>
    <row r="2215" spans="1:22" ht="48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8322</v>
      </c>
      <c r="R2215" t="s">
        <v>8327</v>
      </c>
      <c r="S2215" s="14">
        <f t="shared" si="206"/>
        <v>42109.826145833329</v>
      </c>
      <c r="T2215" s="14">
        <f t="shared" si="207"/>
        <v>42139.826145833329</v>
      </c>
      <c r="U2215" s="64">
        <f t="shared" si="208"/>
        <v>30</v>
      </c>
      <c r="V2215" s="13" t="str">
        <f t="shared" si="209"/>
        <v>funded</v>
      </c>
    </row>
    <row r="2216" spans="1:22" ht="48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8322</v>
      </c>
      <c r="R2216" t="s">
        <v>8327</v>
      </c>
      <c r="S2216" s="14">
        <f t="shared" si="206"/>
        <v>41646.792222222226</v>
      </c>
      <c r="T2216" s="14">
        <f t="shared" si="207"/>
        <v>41676.792222222226</v>
      </c>
      <c r="U2216" s="64">
        <f t="shared" si="208"/>
        <v>30</v>
      </c>
      <c r="V2216" s="13" t="str">
        <f t="shared" si="209"/>
        <v>funded</v>
      </c>
    </row>
    <row r="2217" spans="1:22" ht="3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8322</v>
      </c>
      <c r="R2217" t="s">
        <v>8327</v>
      </c>
      <c r="S2217" s="14">
        <f t="shared" si="206"/>
        <v>40958.717268518521</v>
      </c>
      <c r="T2217" s="14">
        <f t="shared" si="207"/>
        <v>40981.290972222225</v>
      </c>
      <c r="U2217" s="64">
        <f t="shared" si="208"/>
        <v>22.573703703703359</v>
      </c>
      <c r="V2217" s="13" t="str">
        <f t="shared" si="209"/>
        <v>funded</v>
      </c>
    </row>
    <row r="2218" spans="1:22" ht="48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8322</v>
      </c>
      <c r="R2218" t="s">
        <v>8327</v>
      </c>
      <c r="S2218" s="14">
        <f t="shared" si="206"/>
        <v>42194.751678240747</v>
      </c>
      <c r="T2218" s="14">
        <f t="shared" si="207"/>
        <v>42208.751678240747</v>
      </c>
      <c r="U2218" s="64">
        <f t="shared" si="208"/>
        <v>14</v>
      </c>
      <c r="V2218" s="13" t="str">
        <f t="shared" si="209"/>
        <v>funded</v>
      </c>
    </row>
    <row r="2219" spans="1:22" ht="48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8322</v>
      </c>
      <c r="R2219" t="s">
        <v>8327</v>
      </c>
      <c r="S2219" s="14">
        <f t="shared" si="206"/>
        <v>42299.776770833334</v>
      </c>
      <c r="T2219" s="14">
        <f t="shared" si="207"/>
        <v>42310.333333333328</v>
      </c>
      <c r="U2219" s="64">
        <f t="shared" si="208"/>
        <v>10.55656249999447</v>
      </c>
      <c r="V2219" s="13" t="str">
        <f t="shared" si="209"/>
        <v>funded</v>
      </c>
    </row>
    <row r="2220" spans="1:22" ht="48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8322</v>
      </c>
      <c r="R2220" t="s">
        <v>8327</v>
      </c>
      <c r="S2220" s="14">
        <f t="shared" si="206"/>
        <v>41127.812303240738</v>
      </c>
      <c r="T2220" s="14">
        <f t="shared" si="207"/>
        <v>41150</v>
      </c>
      <c r="U2220" s="64">
        <f t="shared" si="208"/>
        <v>22.187696759261598</v>
      </c>
      <c r="V2220" s="13" t="str">
        <f t="shared" si="209"/>
        <v>funded</v>
      </c>
    </row>
    <row r="2221" spans="1:22" ht="48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8322</v>
      </c>
      <c r="R2221" t="s">
        <v>8327</v>
      </c>
      <c r="S2221" s="14">
        <f t="shared" si="206"/>
        <v>42205.718888888892</v>
      </c>
      <c r="T2221" s="14">
        <f t="shared" si="207"/>
        <v>42235.718888888892</v>
      </c>
      <c r="U2221" s="64">
        <f t="shared" si="208"/>
        <v>30</v>
      </c>
      <c r="V2221" s="13" t="str">
        <f t="shared" si="209"/>
        <v>funded</v>
      </c>
    </row>
    <row r="2222" spans="1:22" ht="48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8322</v>
      </c>
      <c r="R2222" t="s">
        <v>8327</v>
      </c>
      <c r="S2222" s="14">
        <f t="shared" si="206"/>
        <v>41452.060601851852</v>
      </c>
      <c r="T2222" s="14">
        <f t="shared" si="207"/>
        <v>41482.060601851852</v>
      </c>
      <c r="U2222" s="64">
        <f t="shared" si="208"/>
        <v>30</v>
      </c>
      <c r="V2222" s="13" t="str">
        <f t="shared" si="209"/>
        <v>funded</v>
      </c>
    </row>
    <row r="2223" spans="1:22" ht="48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8330</v>
      </c>
      <c r="R2223" t="s">
        <v>8348</v>
      </c>
      <c r="S2223" s="14">
        <f t="shared" si="206"/>
        <v>42452.666770833333</v>
      </c>
      <c r="T2223" s="14">
        <f t="shared" si="207"/>
        <v>42483</v>
      </c>
      <c r="U2223" s="64">
        <f t="shared" si="208"/>
        <v>30.33322916666657</v>
      </c>
      <c r="V2223" s="13" t="str">
        <f t="shared" si="209"/>
        <v>funded</v>
      </c>
    </row>
    <row r="2224" spans="1:22" ht="48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8330</v>
      </c>
      <c r="R2224" t="s">
        <v>8348</v>
      </c>
      <c r="S2224" s="14">
        <f t="shared" si="206"/>
        <v>40906.787581018521</v>
      </c>
      <c r="T2224" s="14">
        <f t="shared" si="207"/>
        <v>40936.787581018521</v>
      </c>
      <c r="U2224" s="64">
        <f t="shared" si="208"/>
        <v>30</v>
      </c>
      <c r="V2224" s="13" t="str">
        <f t="shared" si="209"/>
        <v>funded</v>
      </c>
    </row>
    <row r="2225" spans="1:22" ht="48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8330</v>
      </c>
      <c r="R2225" t="s">
        <v>8348</v>
      </c>
      <c r="S2225" s="14">
        <f t="shared" si="206"/>
        <v>42152.640833333338</v>
      </c>
      <c r="T2225" s="14">
        <f t="shared" si="207"/>
        <v>42182.640833333338</v>
      </c>
      <c r="U2225" s="64">
        <f t="shared" si="208"/>
        <v>30</v>
      </c>
      <c r="V2225" s="13" t="str">
        <f t="shared" si="209"/>
        <v>funded</v>
      </c>
    </row>
    <row r="2226" spans="1:22" ht="48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8330</v>
      </c>
      <c r="R2226" t="s">
        <v>8348</v>
      </c>
      <c r="S2226" s="14">
        <f t="shared" si="206"/>
        <v>42644.667534722219</v>
      </c>
      <c r="T2226" s="14">
        <f t="shared" si="207"/>
        <v>42672.791666666672</v>
      </c>
      <c r="U2226" s="64">
        <f t="shared" si="208"/>
        <v>28.124131944452529</v>
      </c>
      <c r="V2226" s="13" t="str">
        <f t="shared" si="209"/>
        <v>funded</v>
      </c>
    </row>
    <row r="2227" spans="1:22" ht="48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8330</v>
      </c>
      <c r="R2227" t="s">
        <v>8348</v>
      </c>
      <c r="S2227" s="14">
        <f t="shared" si="206"/>
        <v>41873.79184027778</v>
      </c>
      <c r="T2227" s="14">
        <f t="shared" si="207"/>
        <v>41903.79184027778</v>
      </c>
      <c r="U2227" s="64">
        <f t="shared" si="208"/>
        <v>30</v>
      </c>
      <c r="V2227" s="13" t="str">
        <f t="shared" si="209"/>
        <v>funded</v>
      </c>
    </row>
    <row r="2228" spans="1:22" ht="48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8330</v>
      </c>
      <c r="R2228" t="s">
        <v>8348</v>
      </c>
      <c r="S2228" s="14">
        <f t="shared" si="206"/>
        <v>42381.79886574074</v>
      </c>
      <c r="T2228" s="14">
        <f t="shared" si="207"/>
        <v>42412.207638888889</v>
      </c>
      <c r="U2228" s="64">
        <f t="shared" si="208"/>
        <v>30.408773148148612</v>
      </c>
      <c r="V2228" s="13" t="str">
        <f t="shared" si="209"/>
        <v>funded</v>
      </c>
    </row>
    <row r="2229" spans="1:22" ht="48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8330</v>
      </c>
      <c r="R2229" t="s">
        <v>8348</v>
      </c>
      <c r="S2229" s="14">
        <f t="shared" si="206"/>
        <v>41561.807349537034</v>
      </c>
      <c r="T2229" s="14">
        <f t="shared" si="207"/>
        <v>41591.849016203705</v>
      </c>
      <c r="U2229" s="64">
        <f t="shared" si="208"/>
        <v>30.041666666671517</v>
      </c>
      <c r="V2229" s="13" t="str">
        <f t="shared" si="209"/>
        <v>funded</v>
      </c>
    </row>
    <row r="2230" spans="1:22" ht="48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8330</v>
      </c>
      <c r="R2230" t="s">
        <v>8348</v>
      </c>
      <c r="S2230" s="14">
        <f t="shared" si="206"/>
        <v>42202.278194444443</v>
      </c>
      <c r="T2230" s="14">
        <f t="shared" si="207"/>
        <v>42232.278194444443</v>
      </c>
      <c r="U2230" s="64">
        <f t="shared" si="208"/>
        <v>30</v>
      </c>
      <c r="V2230" s="13" t="str">
        <f t="shared" si="209"/>
        <v>funded</v>
      </c>
    </row>
    <row r="2231" spans="1:22" ht="48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8330</v>
      </c>
      <c r="R2231" t="s">
        <v>8348</v>
      </c>
      <c r="S2231" s="14">
        <f t="shared" si="206"/>
        <v>41484.664247685185</v>
      </c>
      <c r="T2231" s="14">
        <f t="shared" si="207"/>
        <v>41520.166666666664</v>
      </c>
      <c r="U2231" s="64">
        <f t="shared" si="208"/>
        <v>35.502418981479423</v>
      </c>
      <c r="V2231" s="13" t="str">
        <f t="shared" si="209"/>
        <v>funded</v>
      </c>
    </row>
    <row r="2232" spans="1:22" ht="48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8330</v>
      </c>
      <c r="R2232" t="s">
        <v>8348</v>
      </c>
      <c r="S2232" s="14">
        <f t="shared" si="206"/>
        <v>41724.881099537037</v>
      </c>
      <c r="T2232" s="14">
        <f t="shared" si="207"/>
        <v>41754.881099537037</v>
      </c>
      <c r="U2232" s="64">
        <f t="shared" si="208"/>
        <v>30</v>
      </c>
      <c r="V2232" s="13" t="str">
        <f t="shared" si="209"/>
        <v>funded</v>
      </c>
    </row>
    <row r="2233" spans="1:22" ht="48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8330</v>
      </c>
      <c r="R2233" t="s">
        <v>8348</v>
      </c>
      <c r="S2233" s="14">
        <f t="shared" si="206"/>
        <v>41423.910891203705</v>
      </c>
      <c r="T2233" s="14">
        <f t="shared" si="207"/>
        <v>41450.208333333336</v>
      </c>
      <c r="U2233" s="64">
        <f t="shared" si="208"/>
        <v>26.297442129631236</v>
      </c>
      <c r="V2233" s="13" t="str">
        <f t="shared" si="209"/>
        <v>funded</v>
      </c>
    </row>
    <row r="2234" spans="1:22" ht="48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8330</v>
      </c>
      <c r="R2234" t="s">
        <v>8348</v>
      </c>
      <c r="S2234" s="14">
        <f t="shared" si="206"/>
        <v>41806.794074074074</v>
      </c>
      <c r="T2234" s="14">
        <f t="shared" si="207"/>
        <v>41839.125</v>
      </c>
      <c r="U2234" s="64">
        <f t="shared" si="208"/>
        <v>32.33092592592584</v>
      </c>
      <c r="V2234" s="13" t="str">
        <f t="shared" si="209"/>
        <v>funded</v>
      </c>
    </row>
    <row r="2235" spans="1:22" ht="48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8330</v>
      </c>
      <c r="R2235" t="s">
        <v>8348</v>
      </c>
      <c r="S2235" s="14">
        <f t="shared" si="206"/>
        <v>42331.378923611104</v>
      </c>
      <c r="T2235" s="14">
        <f t="shared" si="207"/>
        <v>42352</v>
      </c>
      <c r="U2235" s="64">
        <f t="shared" si="208"/>
        <v>20.621076388895744</v>
      </c>
      <c r="V2235" s="13" t="str">
        <f t="shared" si="209"/>
        <v>funded</v>
      </c>
    </row>
    <row r="2236" spans="1:22" ht="48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8330</v>
      </c>
      <c r="R2236" t="s">
        <v>8348</v>
      </c>
      <c r="S2236" s="14">
        <f t="shared" si="206"/>
        <v>42710.824618055558</v>
      </c>
      <c r="T2236" s="14">
        <f t="shared" si="207"/>
        <v>42740.824618055558</v>
      </c>
      <c r="U2236" s="64">
        <f t="shared" si="208"/>
        <v>30</v>
      </c>
      <c r="V2236" s="13" t="str">
        <f t="shared" si="209"/>
        <v>funded</v>
      </c>
    </row>
    <row r="2237" spans="1:22" ht="3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8330</v>
      </c>
      <c r="R2237" t="s">
        <v>8348</v>
      </c>
      <c r="S2237" s="14">
        <f t="shared" si="206"/>
        <v>42062.022118055553</v>
      </c>
      <c r="T2237" s="14">
        <f t="shared" si="207"/>
        <v>42091.980451388896</v>
      </c>
      <c r="U2237" s="64">
        <f t="shared" si="208"/>
        <v>29.958333333343035</v>
      </c>
      <c r="V2237" s="13" t="str">
        <f t="shared" si="209"/>
        <v>funded</v>
      </c>
    </row>
    <row r="2238" spans="1:22" ht="3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8330</v>
      </c>
      <c r="R2238" t="s">
        <v>8348</v>
      </c>
      <c r="S2238" s="14">
        <f t="shared" si="206"/>
        <v>42371.617164351846</v>
      </c>
      <c r="T2238" s="14">
        <f t="shared" si="207"/>
        <v>42401.617164351846</v>
      </c>
      <c r="U2238" s="64">
        <f t="shared" si="208"/>
        <v>30</v>
      </c>
      <c r="V2238" s="13" t="str">
        <f t="shared" si="209"/>
        <v>funded</v>
      </c>
    </row>
    <row r="2239" spans="1:22" ht="48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8330</v>
      </c>
      <c r="R2239" t="s">
        <v>8348</v>
      </c>
      <c r="S2239" s="14">
        <f t="shared" si="206"/>
        <v>41915.003275462965</v>
      </c>
      <c r="T2239" s="14">
        <f t="shared" si="207"/>
        <v>41955.332638888889</v>
      </c>
      <c r="U2239" s="64">
        <f t="shared" si="208"/>
        <v>40.329363425924385</v>
      </c>
      <c r="V2239" s="13" t="str">
        <f t="shared" si="209"/>
        <v>funded</v>
      </c>
    </row>
    <row r="2240" spans="1:22" ht="3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8330</v>
      </c>
      <c r="R2240" t="s">
        <v>8348</v>
      </c>
      <c r="S2240" s="14">
        <f t="shared" si="206"/>
        <v>42774.621712962966</v>
      </c>
      <c r="T2240" s="14">
        <f t="shared" si="207"/>
        <v>42804.621712962966</v>
      </c>
      <c r="U2240" s="64">
        <f t="shared" si="208"/>
        <v>30</v>
      </c>
      <c r="V2240" s="13" t="str">
        <f t="shared" si="209"/>
        <v>funded</v>
      </c>
    </row>
    <row r="2241" spans="1:22" ht="3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8330</v>
      </c>
      <c r="R2241" t="s">
        <v>8348</v>
      </c>
      <c r="S2241" s="14">
        <f t="shared" si="206"/>
        <v>41572.958495370374</v>
      </c>
      <c r="T2241" s="14">
        <f t="shared" si="207"/>
        <v>41609.168055555558</v>
      </c>
      <c r="U2241" s="64">
        <f t="shared" si="208"/>
        <v>36.209560185183364</v>
      </c>
      <c r="V2241" s="13" t="str">
        <f t="shared" si="209"/>
        <v>funded</v>
      </c>
    </row>
    <row r="2242" spans="1:22" ht="48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>
        <f t="shared" si="205"/>
        <v>140.97999999999999</v>
      </c>
      <c r="Q2242" s="10" t="s">
        <v>8330</v>
      </c>
      <c r="R2242" t="s">
        <v>8348</v>
      </c>
      <c r="S2242" s="14">
        <f t="shared" si="206"/>
        <v>42452.825740740736</v>
      </c>
      <c r="T2242" s="14">
        <f t="shared" si="207"/>
        <v>42482.825740740736</v>
      </c>
      <c r="U2242" s="64">
        <f t="shared" si="208"/>
        <v>30</v>
      </c>
      <c r="V2242" s="13" t="str">
        <f t="shared" si="209"/>
        <v>funded</v>
      </c>
    </row>
    <row r="2243" spans="1:22" ht="48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ROUND(E2243/D2243*100,0)</f>
        <v>806</v>
      </c>
      <c r="P2243">
        <f t="shared" ref="P2243:P2306" si="211">IFERROR(ROUND(E2243/L2243,2), 0)</f>
        <v>49.47</v>
      </c>
      <c r="Q2243" s="10" t="s">
        <v>8330</v>
      </c>
      <c r="R2243" t="s">
        <v>8348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 s="64">
        <f t="shared" ref="U2243:V2306" si="214">T2243-S2243</f>
        <v>30</v>
      </c>
      <c r="V2243" s="13" t="str">
        <f t="shared" ref="V2243:V2306" si="215">IF(E2243&gt;=D2243, "funded", "underfunded")</f>
        <v>funded</v>
      </c>
    </row>
    <row r="2244" spans="1:22" ht="3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8330</v>
      </c>
      <c r="R2244" t="s">
        <v>8348</v>
      </c>
      <c r="S2244" s="14">
        <f t="shared" si="212"/>
        <v>41569.575613425928</v>
      </c>
      <c r="T2244" s="14">
        <f t="shared" si="213"/>
        <v>41605.126388888886</v>
      </c>
      <c r="U2244" s="64">
        <f t="shared" si="214"/>
        <v>35.550775462957972</v>
      </c>
      <c r="V2244" s="13" t="str">
        <f t="shared" si="215"/>
        <v>funded</v>
      </c>
    </row>
    <row r="2245" spans="1:22" ht="48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8330</v>
      </c>
      <c r="R2245" t="s">
        <v>8348</v>
      </c>
      <c r="S2245" s="14">
        <f t="shared" si="212"/>
        <v>42800.751041666663</v>
      </c>
      <c r="T2245" s="14">
        <f t="shared" si="213"/>
        <v>42807.125</v>
      </c>
      <c r="U2245" s="64">
        <f t="shared" si="214"/>
        <v>6.3739583333372138</v>
      </c>
      <c r="V2245" s="13" t="str">
        <f t="shared" si="215"/>
        <v>funded</v>
      </c>
    </row>
    <row r="2246" spans="1:22" ht="48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8330</v>
      </c>
      <c r="R2246" t="s">
        <v>8348</v>
      </c>
      <c r="S2246" s="14">
        <f t="shared" si="212"/>
        <v>42647.818819444445</v>
      </c>
      <c r="T2246" s="14">
        <f t="shared" si="213"/>
        <v>42659.854166666672</v>
      </c>
      <c r="U2246" s="64">
        <f t="shared" si="214"/>
        <v>12.035347222226846</v>
      </c>
      <c r="V2246" s="13" t="str">
        <f t="shared" si="215"/>
        <v>funded</v>
      </c>
    </row>
    <row r="2247" spans="1:22" ht="48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8330</v>
      </c>
      <c r="R2247" t="s">
        <v>8348</v>
      </c>
      <c r="S2247" s="14">
        <f t="shared" si="212"/>
        <v>41660.708530092597</v>
      </c>
      <c r="T2247" s="14">
        <f t="shared" si="213"/>
        <v>41691.75</v>
      </c>
      <c r="U2247" s="64">
        <f t="shared" si="214"/>
        <v>31.041469907402643</v>
      </c>
      <c r="V2247" s="13" t="str">
        <f t="shared" si="215"/>
        <v>funded</v>
      </c>
    </row>
    <row r="2248" spans="1:22" ht="48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8330</v>
      </c>
      <c r="R2248" t="s">
        <v>8348</v>
      </c>
      <c r="S2248" s="14">
        <f t="shared" si="212"/>
        <v>42221.79178240741</v>
      </c>
      <c r="T2248" s="14">
        <f t="shared" si="213"/>
        <v>42251.79178240741</v>
      </c>
      <c r="U2248" s="64">
        <f t="shared" si="214"/>
        <v>30</v>
      </c>
      <c r="V2248" s="13" t="str">
        <f t="shared" si="215"/>
        <v>funded</v>
      </c>
    </row>
    <row r="2249" spans="1:22" ht="3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8330</v>
      </c>
      <c r="R2249" t="s">
        <v>8348</v>
      </c>
      <c r="S2249" s="14">
        <f t="shared" si="212"/>
        <v>42200.666261574079</v>
      </c>
      <c r="T2249" s="14">
        <f t="shared" si="213"/>
        <v>42214.666261574079</v>
      </c>
      <c r="U2249" s="64">
        <f t="shared" si="214"/>
        <v>14</v>
      </c>
      <c r="V2249" s="13" t="str">
        <f t="shared" si="215"/>
        <v>funded</v>
      </c>
    </row>
    <row r="2250" spans="1:22" ht="48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8330</v>
      </c>
      <c r="R2250" t="s">
        <v>8348</v>
      </c>
      <c r="S2250" s="14">
        <f t="shared" si="212"/>
        <v>42688.875902777778</v>
      </c>
      <c r="T2250" s="14">
        <f t="shared" si="213"/>
        <v>42718.875902777778</v>
      </c>
      <c r="U2250" s="64">
        <f t="shared" si="214"/>
        <v>30</v>
      </c>
      <c r="V2250" s="13" t="str">
        <f t="shared" si="215"/>
        <v>funded</v>
      </c>
    </row>
    <row r="2251" spans="1:22" ht="48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8330</v>
      </c>
      <c r="R2251" t="s">
        <v>8348</v>
      </c>
      <c r="S2251" s="14">
        <f t="shared" si="212"/>
        <v>41336.703298611108</v>
      </c>
      <c r="T2251" s="14">
        <f t="shared" si="213"/>
        <v>41366.661631944444</v>
      </c>
      <c r="U2251" s="64">
        <f t="shared" si="214"/>
        <v>29.958333333335759</v>
      </c>
      <c r="V2251" s="13" t="str">
        <f t="shared" si="215"/>
        <v>funded</v>
      </c>
    </row>
    <row r="2252" spans="1:22" ht="48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8330</v>
      </c>
      <c r="R2252" t="s">
        <v>8348</v>
      </c>
      <c r="S2252" s="14">
        <f t="shared" si="212"/>
        <v>42677.005474537036</v>
      </c>
      <c r="T2252" s="14">
        <f t="shared" si="213"/>
        <v>42707.0471412037</v>
      </c>
      <c r="U2252" s="64">
        <f t="shared" si="214"/>
        <v>30.041666666664241</v>
      </c>
      <c r="V2252" s="13" t="str">
        <f t="shared" si="215"/>
        <v>funded</v>
      </c>
    </row>
    <row r="2253" spans="1:22" ht="48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8330</v>
      </c>
      <c r="R2253" t="s">
        <v>8348</v>
      </c>
      <c r="S2253" s="14">
        <f t="shared" si="212"/>
        <v>41846.34579861111</v>
      </c>
      <c r="T2253" s="14">
        <f t="shared" si="213"/>
        <v>41867.34579861111</v>
      </c>
      <c r="U2253" s="64">
        <f t="shared" si="214"/>
        <v>21</v>
      </c>
      <c r="V2253" s="13" t="str">
        <f t="shared" si="215"/>
        <v>funded</v>
      </c>
    </row>
    <row r="2254" spans="1:22" ht="48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8330</v>
      </c>
      <c r="R2254" t="s">
        <v>8348</v>
      </c>
      <c r="S2254" s="14">
        <f t="shared" si="212"/>
        <v>42573.327986111108</v>
      </c>
      <c r="T2254" s="14">
        <f t="shared" si="213"/>
        <v>42588.327986111108</v>
      </c>
      <c r="U2254" s="64">
        <f t="shared" si="214"/>
        <v>15</v>
      </c>
      <c r="V2254" s="13" t="str">
        <f t="shared" si="215"/>
        <v>funded</v>
      </c>
    </row>
    <row r="2255" spans="1:22" ht="48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8330</v>
      </c>
      <c r="R2255" t="s">
        <v>8348</v>
      </c>
      <c r="S2255" s="14">
        <f t="shared" si="212"/>
        <v>42296.631331018521</v>
      </c>
      <c r="T2255" s="14">
        <f t="shared" si="213"/>
        <v>42326.672997685186</v>
      </c>
      <c r="U2255" s="64">
        <f t="shared" si="214"/>
        <v>30.041666666664241</v>
      </c>
      <c r="V2255" s="13" t="str">
        <f t="shared" si="215"/>
        <v>funded</v>
      </c>
    </row>
    <row r="2256" spans="1:22" ht="3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8330</v>
      </c>
      <c r="R2256" t="s">
        <v>8348</v>
      </c>
      <c r="S2256" s="14">
        <f t="shared" si="212"/>
        <v>42752.647777777776</v>
      </c>
      <c r="T2256" s="14">
        <f t="shared" si="213"/>
        <v>42759.647777777776</v>
      </c>
      <c r="U2256" s="64">
        <f t="shared" si="214"/>
        <v>7</v>
      </c>
      <c r="V2256" s="13" t="str">
        <f t="shared" si="215"/>
        <v>funded</v>
      </c>
    </row>
    <row r="2257" spans="1:22" ht="3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8330</v>
      </c>
      <c r="R2257" t="s">
        <v>8348</v>
      </c>
      <c r="S2257" s="14">
        <f t="shared" si="212"/>
        <v>42467.951979166668</v>
      </c>
      <c r="T2257" s="14">
        <f t="shared" si="213"/>
        <v>42497.951979166668</v>
      </c>
      <c r="U2257" s="64">
        <f t="shared" si="214"/>
        <v>30</v>
      </c>
      <c r="V2257" s="13" t="str">
        <f t="shared" si="215"/>
        <v>funded</v>
      </c>
    </row>
    <row r="2258" spans="1:22" ht="48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8330</v>
      </c>
      <c r="R2258" t="s">
        <v>8348</v>
      </c>
      <c r="S2258" s="14">
        <f t="shared" si="212"/>
        <v>42682.451921296291</v>
      </c>
      <c r="T2258" s="14">
        <f t="shared" si="213"/>
        <v>42696.451921296291</v>
      </c>
      <c r="U2258" s="64">
        <f t="shared" si="214"/>
        <v>14</v>
      </c>
      <c r="V2258" s="13" t="str">
        <f t="shared" si="215"/>
        <v>funded</v>
      </c>
    </row>
    <row r="2259" spans="1:22" ht="48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8330</v>
      </c>
      <c r="R2259" t="s">
        <v>8348</v>
      </c>
      <c r="S2259" s="14">
        <f t="shared" si="212"/>
        <v>42505.936678240745</v>
      </c>
      <c r="T2259" s="14">
        <f t="shared" si="213"/>
        <v>42540.958333333328</v>
      </c>
      <c r="U2259" s="64">
        <f t="shared" si="214"/>
        <v>35.021655092583387</v>
      </c>
      <c r="V2259" s="13" t="str">
        <f t="shared" si="215"/>
        <v>funded</v>
      </c>
    </row>
    <row r="2260" spans="1:22" ht="3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8330</v>
      </c>
      <c r="R2260" t="s">
        <v>8348</v>
      </c>
      <c r="S2260" s="14">
        <f t="shared" si="212"/>
        <v>42136.75100694444</v>
      </c>
      <c r="T2260" s="14">
        <f t="shared" si="213"/>
        <v>42166.75100694444</v>
      </c>
      <c r="U2260" s="64">
        <f t="shared" si="214"/>
        <v>30</v>
      </c>
      <c r="V2260" s="13" t="str">
        <f t="shared" si="215"/>
        <v>funded</v>
      </c>
    </row>
    <row r="2261" spans="1:22" ht="48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8330</v>
      </c>
      <c r="R2261" t="s">
        <v>8348</v>
      </c>
      <c r="S2261" s="14">
        <f t="shared" si="212"/>
        <v>42702.804814814815</v>
      </c>
      <c r="T2261" s="14">
        <f t="shared" si="213"/>
        <v>42712.804814814815</v>
      </c>
      <c r="U2261" s="64">
        <f t="shared" si="214"/>
        <v>10</v>
      </c>
      <c r="V2261" s="13" t="str">
        <f t="shared" si="215"/>
        <v>funded</v>
      </c>
    </row>
    <row r="2262" spans="1:22" ht="48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8330</v>
      </c>
      <c r="R2262" t="s">
        <v>8348</v>
      </c>
      <c r="S2262" s="14">
        <f t="shared" si="212"/>
        <v>41695.016782407409</v>
      </c>
      <c r="T2262" s="14">
        <f t="shared" si="213"/>
        <v>41724.975115740745</v>
      </c>
      <c r="U2262" s="64">
        <f t="shared" si="214"/>
        <v>29.958333333335759</v>
      </c>
      <c r="V2262" s="13" t="str">
        <f t="shared" si="215"/>
        <v>funded</v>
      </c>
    </row>
    <row r="2263" spans="1:22" ht="48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8330</v>
      </c>
      <c r="R2263" t="s">
        <v>8348</v>
      </c>
      <c r="S2263" s="14">
        <f t="shared" si="212"/>
        <v>42759.724768518514</v>
      </c>
      <c r="T2263" s="14">
        <f t="shared" si="213"/>
        <v>42780.724768518514</v>
      </c>
      <c r="U2263" s="64">
        <f t="shared" si="214"/>
        <v>21</v>
      </c>
      <c r="V2263" s="13" t="str">
        <f t="shared" si="215"/>
        <v>funded</v>
      </c>
    </row>
    <row r="2264" spans="1:22" ht="3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8330</v>
      </c>
      <c r="R2264" t="s">
        <v>8348</v>
      </c>
      <c r="S2264" s="14">
        <f t="shared" si="212"/>
        <v>41926.585162037038</v>
      </c>
      <c r="T2264" s="14">
        <f t="shared" si="213"/>
        <v>41961</v>
      </c>
      <c r="U2264" s="64">
        <f t="shared" si="214"/>
        <v>34.414837962962338</v>
      </c>
      <c r="V2264" s="13" t="str">
        <f t="shared" si="215"/>
        <v>funded</v>
      </c>
    </row>
    <row r="2265" spans="1:22" ht="48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8330</v>
      </c>
      <c r="R2265" t="s">
        <v>8348</v>
      </c>
      <c r="S2265" s="14">
        <f t="shared" si="212"/>
        <v>42014.832326388889</v>
      </c>
      <c r="T2265" s="14">
        <f t="shared" si="213"/>
        <v>42035.832326388889</v>
      </c>
      <c r="U2265" s="64">
        <f t="shared" si="214"/>
        <v>21</v>
      </c>
      <c r="V2265" s="13" t="str">
        <f t="shared" si="215"/>
        <v>funded</v>
      </c>
    </row>
    <row r="2266" spans="1:22" ht="48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8330</v>
      </c>
      <c r="R2266" t="s">
        <v>8348</v>
      </c>
      <c r="S2266" s="14">
        <f t="shared" si="212"/>
        <v>42496.582337962958</v>
      </c>
      <c r="T2266" s="14">
        <f t="shared" si="213"/>
        <v>42513.125</v>
      </c>
      <c r="U2266" s="64">
        <f t="shared" si="214"/>
        <v>16.542662037041737</v>
      </c>
      <c r="V2266" s="13" t="str">
        <f t="shared" si="215"/>
        <v>funded</v>
      </c>
    </row>
    <row r="2267" spans="1:22" ht="48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8330</v>
      </c>
      <c r="R2267" t="s">
        <v>8348</v>
      </c>
      <c r="S2267" s="14">
        <f t="shared" si="212"/>
        <v>42689.853090277778</v>
      </c>
      <c r="T2267" s="14">
        <f t="shared" si="213"/>
        <v>42696.853090277778</v>
      </c>
      <c r="U2267" s="64">
        <f t="shared" si="214"/>
        <v>7</v>
      </c>
      <c r="V2267" s="13" t="str">
        <f t="shared" si="215"/>
        <v>funded</v>
      </c>
    </row>
    <row r="2268" spans="1:22" ht="48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8330</v>
      </c>
      <c r="R2268" t="s">
        <v>8348</v>
      </c>
      <c r="S2268" s="14">
        <f t="shared" si="212"/>
        <v>42469.874907407408</v>
      </c>
      <c r="T2268" s="14">
        <f t="shared" si="213"/>
        <v>42487.083333333328</v>
      </c>
      <c r="U2268" s="64">
        <f t="shared" si="214"/>
        <v>17.208425925920892</v>
      </c>
      <c r="V2268" s="13" t="str">
        <f t="shared" si="215"/>
        <v>funded</v>
      </c>
    </row>
    <row r="2269" spans="1:22" ht="48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8330</v>
      </c>
      <c r="R2269" t="s">
        <v>8348</v>
      </c>
      <c r="S2269" s="14">
        <f t="shared" si="212"/>
        <v>41968.829826388886</v>
      </c>
      <c r="T2269" s="14">
        <f t="shared" si="213"/>
        <v>41994.041666666672</v>
      </c>
      <c r="U2269" s="64">
        <f t="shared" si="214"/>
        <v>25.211840277785086</v>
      </c>
      <c r="V2269" s="13" t="str">
        <f t="shared" si="215"/>
        <v>funded</v>
      </c>
    </row>
    <row r="2270" spans="1:22" ht="48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8330</v>
      </c>
      <c r="R2270" t="s">
        <v>8348</v>
      </c>
      <c r="S2270" s="14">
        <f t="shared" si="212"/>
        <v>42776.082349537035</v>
      </c>
      <c r="T2270" s="14">
        <f t="shared" si="213"/>
        <v>42806.082349537035</v>
      </c>
      <c r="U2270" s="64">
        <f t="shared" si="214"/>
        <v>30</v>
      </c>
      <c r="V2270" s="13" t="str">
        <f t="shared" si="215"/>
        <v>funded</v>
      </c>
    </row>
    <row r="2271" spans="1:22" ht="48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8330</v>
      </c>
      <c r="R2271" t="s">
        <v>8348</v>
      </c>
      <c r="S2271" s="14">
        <f t="shared" si="212"/>
        <v>42776.704432870371</v>
      </c>
      <c r="T2271" s="14">
        <f t="shared" si="213"/>
        <v>42801.208333333328</v>
      </c>
      <c r="U2271" s="64">
        <f t="shared" si="214"/>
        <v>24.503900462957972</v>
      </c>
      <c r="V2271" s="13" t="str">
        <f t="shared" si="215"/>
        <v>funded</v>
      </c>
    </row>
    <row r="2272" spans="1:22" ht="48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8330</v>
      </c>
      <c r="R2272" t="s">
        <v>8348</v>
      </c>
      <c r="S2272" s="14">
        <f t="shared" si="212"/>
        <v>42725.869363425925</v>
      </c>
      <c r="T2272" s="14">
        <f t="shared" si="213"/>
        <v>42745.915972222225</v>
      </c>
      <c r="U2272" s="64">
        <f t="shared" si="214"/>
        <v>20.046608796299552</v>
      </c>
      <c r="V2272" s="13" t="str">
        <f t="shared" si="215"/>
        <v>funded</v>
      </c>
    </row>
    <row r="2273" spans="1:22" ht="48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8330</v>
      </c>
      <c r="R2273" t="s">
        <v>8348</v>
      </c>
      <c r="S2273" s="14">
        <f t="shared" si="212"/>
        <v>42684.000046296293</v>
      </c>
      <c r="T2273" s="14">
        <f t="shared" si="213"/>
        <v>42714.000046296293</v>
      </c>
      <c r="U2273" s="64">
        <f t="shared" si="214"/>
        <v>30</v>
      </c>
      <c r="V2273" s="13" t="str">
        <f t="shared" si="215"/>
        <v>funded</v>
      </c>
    </row>
    <row r="2274" spans="1:22" ht="48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8330</v>
      </c>
      <c r="R2274" t="s">
        <v>8348</v>
      </c>
      <c r="S2274" s="14">
        <f t="shared" si="212"/>
        <v>42315.699490740735</v>
      </c>
      <c r="T2274" s="14">
        <f t="shared" si="213"/>
        <v>42345.699490740735</v>
      </c>
      <c r="U2274" s="64">
        <f t="shared" si="214"/>
        <v>30</v>
      </c>
      <c r="V2274" s="13" t="str">
        <f t="shared" si="215"/>
        <v>funded</v>
      </c>
    </row>
    <row r="2275" spans="1:22" ht="48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8330</v>
      </c>
      <c r="R2275" t="s">
        <v>8348</v>
      </c>
      <c r="S2275" s="14">
        <f t="shared" si="212"/>
        <v>42781.549097222218</v>
      </c>
      <c r="T2275" s="14">
        <f t="shared" si="213"/>
        <v>42806.507430555561</v>
      </c>
      <c r="U2275" s="64">
        <f t="shared" si="214"/>
        <v>24.958333333343035</v>
      </c>
      <c r="V2275" s="13" t="str">
        <f t="shared" si="215"/>
        <v>funded</v>
      </c>
    </row>
    <row r="2276" spans="1:22" ht="48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8330</v>
      </c>
      <c r="R2276" t="s">
        <v>8348</v>
      </c>
      <c r="S2276" s="14">
        <f t="shared" si="212"/>
        <v>41663.500659722224</v>
      </c>
      <c r="T2276" s="14">
        <f t="shared" si="213"/>
        <v>41693.500659722224</v>
      </c>
      <c r="U2276" s="64">
        <f t="shared" si="214"/>
        <v>30</v>
      </c>
      <c r="V2276" s="13" t="str">
        <f t="shared" si="215"/>
        <v>funded</v>
      </c>
    </row>
    <row r="2277" spans="1:22" ht="48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8330</v>
      </c>
      <c r="R2277" t="s">
        <v>8348</v>
      </c>
      <c r="S2277" s="14">
        <f t="shared" si="212"/>
        <v>41965.616655092599</v>
      </c>
      <c r="T2277" s="14">
        <f t="shared" si="213"/>
        <v>41995.616655092599</v>
      </c>
      <c r="U2277" s="64">
        <f t="shared" si="214"/>
        <v>30</v>
      </c>
      <c r="V2277" s="13" t="str">
        <f t="shared" si="215"/>
        <v>funded</v>
      </c>
    </row>
    <row r="2278" spans="1:22" ht="48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8330</v>
      </c>
      <c r="R2278" t="s">
        <v>8348</v>
      </c>
      <c r="S2278" s="14">
        <f t="shared" si="212"/>
        <v>41614.651493055557</v>
      </c>
      <c r="T2278" s="14">
        <f t="shared" si="213"/>
        <v>41644.651493055557</v>
      </c>
      <c r="U2278" s="64">
        <f t="shared" si="214"/>
        <v>30</v>
      </c>
      <c r="V2278" s="13" t="str">
        <f t="shared" si="215"/>
        <v>funded</v>
      </c>
    </row>
    <row r="2279" spans="1:22" ht="48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8330</v>
      </c>
      <c r="R2279" t="s">
        <v>8348</v>
      </c>
      <c r="S2279" s="14">
        <f t="shared" si="212"/>
        <v>40936.678506944445</v>
      </c>
      <c r="T2279" s="14">
        <f t="shared" si="213"/>
        <v>40966.678506944445</v>
      </c>
      <c r="U2279" s="64">
        <f t="shared" si="214"/>
        <v>30</v>
      </c>
      <c r="V2279" s="13" t="str">
        <f t="shared" si="215"/>
        <v>funded</v>
      </c>
    </row>
    <row r="2280" spans="1:22" ht="3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8330</v>
      </c>
      <c r="R2280" t="s">
        <v>8348</v>
      </c>
      <c r="S2280" s="14">
        <f t="shared" si="212"/>
        <v>42338.709108796291</v>
      </c>
      <c r="T2280" s="14">
        <f t="shared" si="213"/>
        <v>42372.957638888889</v>
      </c>
      <c r="U2280" s="64">
        <f t="shared" si="214"/>
        <v>34.24853009259823</v>
      </c>
      <c r="V2280" s="13" t="str">
        <f t="shared" si="215"/>
        <v>funded</v>
      </c>
    </row>
    <row r="2281" spans="1:22" ht="48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8330</v>
      </c>
      <c r="R2281" t="s">
        <v>8348</v>
      </c>
      <c r="S2281" s="14">
        <f t="shared" si="212"/>
        <v>42020.806701388887</v>
      </c>
      <c r="T2281" s="14">
        <f t="shared" si="213"/>
        <v>42039.166666666672</v>
      </c>
      <c r="U2281" s="64">
        <f t="shared" si="214"/>
        <v>18.359965277784795</v>
      </c>
      <c r="V2281" s="13" t="str">
        <f t="shared" si="215"/>
        <v>funded</v>
      </c>
    </row>
    <row r="2282" spans="1:22" ht="48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8330</v>
      </c>
      <c r="R2282" t="s">
        <v>8348</v>
      </c>
      <c r="S2282" s="14">
        <f t="shared" si="212"/>
        <v>42234.624895833331</v>
      </c>
      <c r="T2282" s="14">
        <f t="shared" si="213"/>
        <v>42264.624895833331</v>
      </c>
      <c r="U2282" s="64">
        <f t="shared" si="214"/>
        <v>30</v>
      </c>
      <c r="V2282" s="13" t="str">
        <f t="shared" si="215"/>
        <v>funded</v>
      </c>
    </row>
    <row r="2283" spans="1:22" ht="48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8322</v>
      </c>
      <c r="R2283" t="s">
        <v>8323</v>
      </c>
      <c r="S2283" s="14">
        <f t="shared" si="212"/>
        <v>40687.285844907405</v>
      </c>
      <c r="T2283" s="14">
        <f t="shared" si="213"/>
        <v>40749.284722222219</v>
      </c>
      <c r="U2283" s="64">
        <f t="shared" si="214"/>
        <v>61.998877314814308</v>
      </c>
      <c r="V2283" s="13" t="str">
        <f t="shared" si="215"/>
        <v>funded</v>
      </c>
    </row>
    <row r="2284" spans="1:22" ht="3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8322</v>
      </c>
      <c r="R2284" t="s">
        <v>8323</v>
      </c>
      <c r="S2284" s="14">
        <f t="shared" si="212"/>
        <v>42323.17460648148</v>
      </c>
      <c r="T2284" s="14">
        <f t="shared" si="213"/>
        <v>42383.17460648148</v>
      </c>
      <c r="U2284" s="64">
        <f t="shared" si="214"/>
        <v>60</v>
      </c>
      <c r="V2284" s="13" t="str">
        <f t="shared" si="215"/>
        <v>funded</v>
      </c>
    </row>
    <row r="2285" spans="1:22" ht="48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8322</v>
      </c>
      <c r="R2285" t="s">
        <v>8323</v>
      </c>
      <c r="S2285" s="14">
        <f t="shared" si="212"/>
        <v>40978.125046296293</v>
      </c>
      <c r="T2285" s="14">
        <f t="shared" si="213"/>
        <v>41038.083379629628</v>
      </c>
      <c r="U2285" s="64">
        <f t="shared" si="214"/>
        <v>59.958333333335759</v>
      </c>
      <c r="V2285" s="13" t="str">
        <f t="shared" si="215"/>
        <v>funded</v>
      </c>
    </row>
    <row r="2286" spans="1:22" ht="3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8322</v>
      </c>
      <c r="R2286" t="s">
        <v>8323</v>
      </c>
      <c r="S2286" s="14">
        <f t="shared" si="212"/>
        <v>40585.796817129631</v>
      </c>
      <c r="T2286" s="14">
        <f t="shared" si="213"/>
        <v>40614.166666666664</v>
      </c>
      <c r="U2286" s="64">
        <f t="shared" si="214"/>
        <v>28.369849537033588</v>
      </c>
      <c r="V2286" s="13" t="str">
        <f t="shared" si="215"/>
        <v>funded</v>
      </c>
    </row>
    <row r="2287" spans="1:22" ht="48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8322</v>
      </c>
      <c r="R2287" t="s">
        <v>8323</v>
      </c>
      <c r="S2287" s="14">
        <f t="shared" si="212"/>
        <v>41059.185682870368</v>
      </c>
      <c r="T2287" s="14">
        <f t="shared" si="213"/>
        <v>41089.185682870368</v>
      </c>
      <c r="U2287" s="64">
        <f t="shared" si="214"/>
        <v>30</v>
      </c>
      <c r="V2287" s="13" t="str">
        <f t="shared" si="215"/>
        <v>funded</v>
      </c>
    </row>
    <row r="2288" spans="1:22" ht="48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8322</v>
      </c>
      <c r="R2288" t="s">
        <v>8323</v>
      </c>
      <c r="S2288" s="14">
        <f t="shared" si="212"/>
        <v>41494.963587962964</v>
      </c>
      <c r="T2288" s="14">
        <f t="shared" si="213"/>
        <v>41523.165972222225</v>
      </c>
      <c r="U2288" s="64">
        <f t="shared" si="214"/>
        <v>28.202384259260725</v>
      </c>
      <c r="V2288" s="13" t="str">
        <f t="shared" si="215"/>
        <v>funded</v>
      </c>
    </row>
    <row r="2289" spans="1:22" ht="48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8322</v>
      </c>
      <c r="R2289" t="s">
        <v>8323</v>
      </c>
      <c r="S2289" s="14">
        <f t="shared" si="212"/>
        <v>41792.667361111111</v>
      </c>
      <c r="T2289" s="14">
        <f t="shared" si="213"/>
        <v>41813.667361111111</v>
      </c>
      <c r="U2289" s="64">
        <f t="shared" si="214"/>
        <v>21</v>
      </c>
      <c r="V2289" s="13" t="str">
        <f t="shared" si="215"/>
        <v>funded</v>
      </c>
    </row>
    <row r="2290" spans="1:22" ht="48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8322</v>
      </c>
      <c r="R2290" t="s">
        <v>8323</v>
      </c>
      <c r="S2290" s="14">
        <f t="shared" si="212"/>
        <v>41067.827418981484</v>
      </c>
      <c r="T2290" s="14">
        <f t="shared" si="213"/>
        <v>41086.75</v>
      </c>
      <c r="U2290" s="64">
        <f t="shared" si="214"/>
        <v>18.922581018516212</v>
      </c>
      <c r="V2290" s="13" t="str">
        <f t="shared" si="215"/>
        <v>funded</v>
      </c>
    </row>
    <row r="2291" spans="1:22" ht="48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8322</v>
      </c>
      <c r="R2291" t="s">
        <v>8323</v>
      </c>
      <c r="S2291" s="14">
        <f t="shared" si="212"/>
        <v>41571.998379629629</v>
      </c>
      <c r="T2291" s="14">
        <f t="shared" si="213"/>
        <v>41614.973611111112</v>
      </c>
      <c r="U2291" s="64">
        <f t="shared" si="214"/>
        <v>42.975231481483206</v>
      </c>
      <c r="V2291" s="13" t="str">
        <f t="shared" si="215"/>
        <v>funded</v>
      </c>
    </row>
    <row r="2292" spans="1:22" ht="48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8322</v>
      </c>
      <c r="R2292" t="s">
        <v>8323</v>
      </c>
      <c r="S2292" s="14">
        <f t="shared" si="212"/>
        <v>40070.253819444442</v>
      </c>
      <c r="T2292" s="14">
        <f t="shared" si="213"/>
        <v>40148.708333333336</v>
      </c>
      <c r="U2292" s="64">
        <f t="shared" si="214"/>
        <v>78.454513888893416</v>
      </c>
      <c r="V2292" s="13" t="str">
        <f t="shared" si="215"/>
        <v>funded</v>
      </c>
    </row>
    <row r="2293" spans="1:22" ht="48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8322</v>
      </c>
      <c r="R2293" t="s">
        <v>8323</v>
      </c>
      <c r="S2293" s="14">
        <f t="shared" si="212"/>
        <v>40987.977060185185</v>
      </c>
      <c r="T2293" s="14">
        <f t="shared" si="213"/>
        <v>41022.166666666664</v>
      </c>
      <c r="U2293" s="64">
        <f t="shared" si="214"/>
        <v>34.189606481479132</v>
      </c>
      <c r="V2293" s="13" t="str">
        <f t="shared" si="215"/>
        <v>funded</v>
      </c>
    </row>
    <row r="2294" spans="1:22" ht="48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8322</v>
      </c>
      <c r="R2294" t="s">
        <v>8323</v>
      </c>
      <c r="S2294" s="14">
        <f t="shared" si="212"/>
        <v>40987.697638888887</v>
      </c>
      <c r="T2294" s="14">
        <f t="shared" si="213"/>
        <v>41017.697638888887</v>
      </c>
      <c r="U2294" s="64">
        <f t="shared" si="214"/>
        <v>30</v>
      </c>
      <c r="V2294" s="13" t="str">
        <f t="shared" si="215"/>
        <v>funded</v>
      </c>
    </row>
    <row r="2295" spans="1:22" ht="3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8322</v>
      </c>
      <c r="R2295" t="s">
        <v>8323</v>
      </c>
      <c r="S2295" s="14">
        <f t="shared" si="212"/>
        <v>41151.708321759259</v>
      </c>
      <c r="T2295" s="14">
        <f t="shared" si="213"/>
        <v>41177.165972222225</v>
      </c>
      <c r="U2295" s="64">
        <f t="shared" si="214"/>
        <v>25.45765046296583</v>
      </c>
      <c r="V2295" s="13" t="str">
        <f t="shared" si="215"/>
        <v>funded</v>
      </c>
    </row>
    <row r="2296" spans="1:22" ht="48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8322</v>
      </c>
      <c r="R2296" t="s">
        <v>8323</v>
      </c>
      <c r="S2296" s="14">
        <f t="shared" si="212"/>
        <v>41264.72314814815</v>
      </c>
      <c r="T2296" s="14">
        <f t="shared" si="213"/>
        <v>41294.72314814815</v>
      </c>
      <c r="U2296" s="64">
        <f t="shared" si="214"/>
        <v>30</v>
      </c>
      <c r="V2296" s="13" t="str">
        <f t="shared" si="215"/>
        <v>funded</v>
      </c>
    </row>
    <row r="2297" spans="1:22" ht="48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8322</v>
      </c>
      <c r="R2297" t="s">
        <v>8323</v>
      </c>
      <c r="S2297" s="14">
        <f t="shared" si="212"/>
        <v>41270.954351851848</v>
      </c>
      <c r="T2297" s="14">
        <f t="shared" si="213"/>
        <v>41300.954351851848</v>
      </c>
      <c r="U2297" s="64">
        <f t="shared" si="214"/>
        <v>30</v>
      </c>
      <c r="V2297" s="13" t="str">
        <f t="shared" si="215"/>
        <v>funded</v>
      </c>
    </row>
    <row r="2298" spans="1:22" ht="48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8322</v>
      </c>
      <c r="R2298" t="s">
        <v>8323</v>
      </c>
      <c r="S2298" s="14">
        <f t="shared" si="212"/>
        <v>40927.731782407405</v>
      </c>
      <c r="T2298" s="14">
        <f t="shared" si="213"/>
        <v>40962.731782407405</v>
      </c>
      <c r="U2298" s="64">
        <f t="shared" si="214"/>
        <v>35</v>
      </c>
      <c r="V2298" s="13" t="str">
        <f t="shared" si="215"/>
        <v>funded</v>
      </c>
    </row>
    <row r="2299" spans="1:22" ht="3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8322</v>
      </c>
      <c r="R2299" t="s">
        <v>8323</v>
      </c>
      <c r="S2299" s="14">
        <f t="shared" si="212"/>
        <v>40948.042233796295</v>
      </c>
      <c r="T2299" s="14">
        <f t="shared" si="213"/>
        <v>40982.165972222225</v>
      </c>
      <c r="U2299" s="64">
        <f t="shared" si="214"/>
        <v>34.123738425929332</v>
      </c>
      <c r="V2299" s="13" t="str">
        <f t="shared" si="215"/>
        <v>funded</v>
      </c>
    </row>
    <row r="2300" spans="1:22" ht="48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8322</v>
      </c>
      <c r="R2300" t="s">
        <v>8323</v>
      </c>
      <c r="S2300" s="14">
        <f t="shared" si="212"/>
        <v>41694.84065972222</v>
      </c>
      <c r="T2300" s="14">
        <f t="shared" si="213"/>
        <v>41724.798993055556</v>
      </c>
      <c r="U2300" s="64">
        <f t="shared" si="214"/>
        <v>29.958333333335759</v>
      </c>
      <c r="V2300" s="13" t="str">
        <f t="shared" si="215"/>
        <v>funded</v>
      </c>
    </row>
    <row r="2301" spans="1:22" ht="48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8322</v>
      </c>
      <c r="R2301" t="s">
        <v>8323</v>
      </c>
      <c r="S2301" s="14">
        <f t="shared" si="212"/>
        <v>40565.032511574071</v>
      </c>
      <c r="T2301" s="14">
        <f t="shared" si="213"/>
        <v>40580.032511574071</v>
      </c>
      <c r="U2301" s="64">
        <f t="shared" si="214"/>
        <v>15</v>
      </c>
      <c r="V2301" s="13" t="str">
        <f t="shared" si="215"/>
        <v>funded</v>
      </c>
    </row>
    <row r="2302" spans="1:22" ht="48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8322</v>
      </c>
      <c r="R2302" t="s">
        <v>8323</v>
      </c>
      <c r="S2302" s="14">
        <f t="shared" si="212"/>
        <v>41074.727037037039</v>
      </c>
      <c r="T2302" s="14">
        <f t="shared" si="213"/>
        <v>41088.727037037039</v>
      </c>
      <c r="U2302" s="64">
        <f t="shared" si="214"/>
        <v>14</v>
      </c>
      <c r="V2302" s="13" t="str">
        <f t="shared" si="215"/>
        <v>funded</v>
      </c>
    </row>
    <row r="2303" spans="1:22" ht="3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8322</v>
      </c>
      <c r="R2303" t="s">
        <v>8326</v>
      </c>
      <c r="S2303" s="14">
        <f t="shared" si="212"/>
        <v>41416.146944444445</v>
      </c>
      <c r="T2303" s="14">
        <f t="shared" si="213"/>
        <v>41446.146944444445</v>
      </c>
      <c r="U2303" s="64">
        <f t="shared" si="214"/>
        <v>30</v>
      </c>
      <c r="V2303" s="13" t="str">
        <f t="shared" si="215"/>
        <v>funded</v>
      </c>
    </row>
    <row r="2304" spans="1:22" ht="48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8322</v>
      </c>
      <c r="R2304" t="s">
        <v>8326</v>
      </c>
      <c r="S2304" s="14">
        <f t="shared" si="212"/>
        <v>41605.868449074071</v>
      </c>
      <c r="T2304" s="14">
        <f t="shared" si="213"/>
        <v>41639.291666666664</v>
      </c>
      <c r="U2304" s="64">
        <f t="shared" si="214"/>
        <v>33.423217592593573</v>
      </c>
      <c r="V2304" s="13" t="str">
        <f t="shared" si="215"/>
        <v>funded</v>
      </c>
    </row>
    <row r="2305" spans="1:22" ht="48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8322</v>
      </c>
      <c r="R2305" t="s">
        <v>8326</v>
      </c>
      <c r="S2305" s="14">
        <f t="shared" si="212"/>
        <v>40850.111064814817</v>
      </c>
      <c r="T2305" s="14">
        <f t="shared" si="213"/>
        <v>40890.152731481481</v>
      </c>
      <c r="U2305" s="64">
        <f t="shared" si="214"/>
        <v>40.041666666664241</v>
      </c>
      <c r="V2305" s="13" t="str">
        <f t="shared" si="215"/>
        <v>funded</v>
      </c>
    </row>
    <row r="2306" spans="1:22" ht="48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>
        <f t="shared" si="211"/>
        <v>53.47</v>
      </c>
      <c r="Q2306" s="10" t="s">
        <v>8322</v>
      </c>
      <c r="R2306" t="s">
        <v>8326</v>
      </c>
      <c r="S2306" s="14">
        <f t="shared" si="212"/>
        <v>40502.815868055557</v>
      </c>
      <c r="T2306" s="14">
        <f t="shared" si="213"/>
        <v>40544.207638888889</v>
      </c>
      <c r="U2306" s="64">
        <f t="shared" si="214"/>
        <v>41.391770833331975</v>
      </c>
      <c r="V2306" s="13" t="str">
        <f t="shared" si="215"/>
        <v>funded</v>
      </c>
    </row>
    <row r="2307" spans="1:22" ht="48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ROUND(E2307/D2307*100,0)</f>
        <v>101</v>
      </c>
      <c r="P2307">
        <f t="shared" ref="P2307:P2370" si="217">IFERROR(ROUND(E2307/L2307,2), 0)</f>
        <v>109.11</v>
      </c>
      <c r="Q2307" s="10" t="s">
        <v>8322</v>
      </c>
      <c r="R2307" t="s">
        <v>8326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 s="64">
        <f t="shared" ref="U2307:V2370" si="220">T2307-S2307</f>
        <v>25.054722222223063</v>
      </c>
      <c r="V2307" s="13" t="str">
        <f t="shared" ref="V2307:V2370" si="221">IF(E2307&gt;=D2307, "funded", "underfunded")</f>
        <v>funded</v>
      </c>
    </row>
    <row r="2308" spans="1:22" ht="48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8322</v>
      </c>
      <c r="R2308" t="s">
        <v>8326</v>
      </c>
      <c r="S2308" s="14">
        <f t="shared" si="218"/>
        <v>40948.16815972222</v>
      </c>
      <c r="T2308" s="14">
        <f t="shared" si="219"/>
        <v>40978.16815972222</v>
      </c>
      <c r="U2308" s="64">
        <f t="shared" si="220"/>
        <v>30</v>
      </c>
      <c r="V2308" s="13" t="str">
        <f t="shared" si="221"/>
        <v>funded</v>
      </c>
    </row>
    <row r="2309" spans="1:22" ht="48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8322</v>
      </c>
      <c r="R2309" t="s">
        <v>8326</v>
      </c>
      <c r="S2309" s="14">
        <f t="shared" si="218"/>
        <v>41004.802465277775</v>
      </c>
      <c r="T2309" s="14">
        <f t="shared" si="219"/>
        <v>41034.802407407406</v>
      </c>
      <c r="U2309" s="64">
        <f t="shared" si="220"/>
        <v>29.999942129630654</v>
      </c>
      <c r="V2309" s="13" t="str">
        <f t="shared" si="221"/>
        <v>funded</v>
      </c>
    </row>
    <row r="2310" spans="1:22" ht="48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8322</v>
      </c>
      <c r="R2310" t="s">
        <v>8326</v>
      </c>
      <c r="S2310" s="14">
        <f t="shared" si="218"/>
        <v>41851.962916666671</v>
      </c>
      <c r="T2310" s="14">
        <f t="shared" si="219"/>
        <v>41880.041666666664</v>
      </c>
      <c r="U2310" s="64">
        <f t="shared" si="220"/>
        <v>28.078749999993306</v>
      </c>
      <c r="V2310" s="13" t="str">
        <f t="shared" si="221"/>
        <v>funded</v>
      </c>
    </row>
    <row r="2311" spans="1:22" ht="48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8322</v>
      </c>
      <c r="R2311" t="s">
        <v>8326</v>
      </c>
      <c r="S2311" s="14">
        <f t="shared" si="218"/>
        <v>41307.987696759257</v>
      </c>
      <c r="T2311" s="14">
        <f t="shared" si="219"/>
        <v>41342.987696759257</v>
      </c>
      <c r="U2311" s="64">
        <f t="shared" si="220"/>
        <v>35</v>
      </c>
      <c r="V2311" s="13" t="str">
        <f t="shared" si="221"/>
        <v>funded</v>
      </c>
    </row>
    <row r="2312" spans="1:22" ht="48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8322</v>
      </c>
      <c r="R2312" t="s">
        <v>8326</v>
      </c>
      <c r="S2312" s="14">
        <f t="shared" si="218"/>
        <v>41324.79415509259</v>
      </c>
      <c r="T2312" s="14">
        <f t="shared" si="219"/>
        <v>41354.752488425926</v>
      </c>
      <c r="U2312" s="64">
        <f t="shared" si="220"/>
        <v>29.958333333335759</v>
      </c>
      <c r="V2312" s="13" t="str">
        <f t="shared" si="221"/>
        <v>funded</v>
      </c>
    </row>
    <row r="2313" spans="1:22" ht="48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8322</v>
      </c>
      <c r="R2313" t="s">
        <v>8326</v>
      </c>
      <c r="S2313" s="14">
        <f t="shared" si="218"/>
        <v>41736.004502314812</v>
      </c>
      <c r="T2313" s="14">
        <f t="shared" si="219"/>
        <v>41766.004502314812</v>
      </c>
      <c r="U2313" s="64">
        <f t="shared" si="220"/>
        <v>30</v>
      </c>
      <c r="V2313" s="13" t="str">
        <f t="shared" si="221"/>
        <v>funded</v>
      </c>
    </row>
    <row r="2314" spans="1:22" ht="48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8322</v>
      </c>
      <c r="R2314" t="s">
        <v>8326</v>
      </c>
      <c r="S2314" s="14">
        <f t="shared" si="218"/>
        <v>41716.632847222223</v>
      </c>
      <c r="T2314" s="14">
        <f t="shared" si="219"/>
        <v>41747.958333333336</v>
      </c>
      <c r="U2314" s="64">
        <f t="shared" si="220"/>
        <v>31.325486111112696</v>
      </c>
      <c r="V2314" s="13" t="str">
        <f t="shared" si="221"/>
        <v>funded</v>
      </c>
    </row>
    <row r="2315" spans="1:22" ht="3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8322</v>
      </c>
      <c r="R2315" t="s">
        <v>8326</v>
      </c>
      <c r="S2315" s="14">
        <f t="shared" si="218"/>
        <v>41002.958634259259</v>
      </c>
      <c r="T2315" s="14">
        <f t="shared" si="219"/>
        <v>41032.958634259259</v>
      </c>
      <c r="U2315" s="64">
        <f t="shared" si="220"/>
        <v>30</v>
      </c>
      <c r="V2315" s="13" t="str">
        <f t="shared" si="221"/>
        <v>funded</v>
      </c>
    </row>
    <row r="2316" spans="1:22" ht="48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8322</v>
      </c>
      <c r="R2316" t="s">
        <v>8326</v>
      </c>
      <c r="S2316" s="14">
        <f t="shared" si="218"/>
        <v>41037.551585648151</v>
      </c>
      <c r="T2316" s="14">
        <f t="shared" si="219"/>
        <v>41067.551585648151</v>
      </c>
      <c r="U2316" s="64">
        <f t="shared" si="220"/>
        <v>30</v>
      </c>
      <c r="V2316" s="13" t="str">
        <f t="shared" si="221"/>
        <v>funded</v>
      </c>
    </row>
    <row r="2317" spans="1:22" ht="3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8322</v>
      </c>
      <c r="R2317" t="s">
        <v>8326</v>
      </c>
      <c r="S2317" s="14">
        <f t="shared" si="218"/>
        <v>41004.72619212963</v>
      </c>
      <c r="T2317" s="14">
        <f t="shared" si="219"/>
        <v>41034.72619212963</v>
      </c>
      <c r="U2317" s="64">
        <f t="shared" si="220"/>
        <v>30</v>
      </c>
      <c r="V2317" s="13" t="str">
        <f t="shared" si="221"/>
        <v>funded</v>
      </c>
    </row>
    <row r="2318" spans="1:22" ht="48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8322</v>
      </c>
      <c r="R2318" t="s">
        <v>8326</v>
      </c>
      <c r="S2318" s="14">
        <f t="shared" si="218"/>
        <v>40079.725115740745</v>
      </c>
      <c r="T2318" s="14">
        <f t="shared" si="219"/>
        <v>40156.76666666667</v>
      </c>
      <c r="U2318" s="64">
        <f t="shared" si="220"/>
        <v>77.041550925925549</v>
      </c>
      <c r="V2318" s="13" t="str">
        <f t="shared" si="221"/>
        <v>funded</v>
      </c>
    </row>
    <row r="2319" spans="1:22" ht="48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8322</v>
      </c>
      <c r="R2319" t="s">
        <v>8326</v>
      </c>
      <c r="S2319" s="14">
        <f t="shared" si="218"/>
        <v>40192.542233796295</v>
      </c>
      <c r="T2319" s="14">
        <f t="shared" si="219"/>
        <v>40224.208333333336</v>
      </c>
      <c r="U2319" s="64">
        <f t="shared" si="220"/>
        <v>31.666099537040282</v>
      </c>
      <c r="V2319" s="13" t="str">
        <f t="shared" si="221"/>
        <v>funded</v>
      </c>
    </row>
    <row r="2320" spans="1:22" ht="6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8322</v>
      </c>
      <c r="R2320" t="s">
        <v>8326</v>
      </c>
      <c r="S2320" s="14">
        <f t="shared" si="218"/>
        <v>40050.643680555557</v>
      </c>
      <c r="T2320" s="14">
        <f t="shared" si="219"/>
        <v>40082.165972222225</v>
      </c>
      <c r="U2320" s="64">
        <f t="shared" si="220"/>
        <v>31.522291666668025</v>
      </c>
      <c r="V2320" s="13" t="str">
        <f t="shared" si="221"/>
        <v>funded</v>
      </c>
    </row>
    <row r="2321" spans="1:22" ht="48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8322</v>
      </c>
      <c r="R2321" t="s">
        <v>8326</v>
      </c>
      <c r="S2321" s="14">
        <f t="shared" si="218"/>
        <v>41593.082002314812</v>
      </c>
      <c r="T2321" s="14">
        <f t="shared" si="219"/>
        <v>41623.082002314812</v>
      </c>
      <c r="U2321" s="64">
        <f t="shared" si="220"/>
        <v>30</v>
      </c>
      <c r="V2321" s="13" t="str">
        <f t="shared" si="221"/>
        <v>funded</v>
      </c>
    </row>
    <row r="2322" spans="1:22" ht="48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8322</v>
      </c>
      <c r="R2322" t="s">
        <v>8326</v>
      </c>
      <c r="S2322" s="14">
        <f t="shared" si="218"/>
        <v>41696.817129629628</v>
      </c>
      <c r="T2322" s="14">
        <f t="shared" si="219"/>
        <v>41731.775462962964</v>
      </c>
      <c r="U2322" s="64">
        <f t="shared" si="220"/>
        <v>34.958333333335759</v>
      </c>
      <c r="V2322" s="13" t="str">
        <f t="shared" si="221"/>
        <v>funded</v>
      </c>
    </row>
    <row r="2323" spans="1:22" ht="48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8333</v>
      </c>
      <c r="R2323" t="s">
        <v>8349</v>
      </c>
      <c r="S2323" s="14">
        <f t="shared" si="218"/>
        <v>42799.260428240741</v>
      </c>
      <c r="T2323" s="14">
        <f t="shared" si="219"/>
        <v>42829.21876157407</v>
      </c>
      <c r="U2323" s="64">
        <f t="shared" si="220"/>
        <v>29.958333333328483</v>
      </c>
      <c r="V2323" s="13" t="str">
        <f t="shared" si="221"/>
        <v>underfunded</v>
      </c>
    </row>
    <row r="2324" spans="1:22" ht="48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8333</v>
      </c>
      <c r="R2324" t="s">
        <v>8349</v>
      </c>
      <c r="S2324" s="14">
        <f t="shared" si="218"/>
        <v>42804.895474537043</v>
      </c>
      <c r="T2324" s="14">
        <f t="shared" si="219"/>
        <v>42834.853807870371</v>
      </c>
      <c r="U2324" s="64">
        <f t="shared" si="220"/>
        <v>29.958333333328483</v>
      </c>
      <c r="V2324" s="13" t="str">
        <f t="shared" si="221"/>
        <v>underfunded</v>
      </c>
    </row>
    <row r="2325" spans="1:22" ht="48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8333</v>
      </c>
      <c r="R2325" t="s">
        <v>8349</v>
      </c>
      <c r="S2325" s="14">
        <f t="shared" si="218"/>
        <v>42807.755173611105</v>
      </c>
      <c r="T2325" s="14">
        <f t="shared" si="219"/>
        <v>42814.755173611105</v>
      </c>
      <c r="U2325" s="64">
        <f t="shared" si="220"/>
        <v>7</v>
      </c>
      <c r="V2325" s="13" t="str">
        <f t="shared" si="221"/>
        <v>underfunded</v>
      </c>
    </row>
    <row r="2326" spans="1:22" ht="3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8333</v>
      </c>
      <c r="R2326" t="s">
        <v>8349</v>
      </c>
      <c r="S2326" s="14">
        <f t="shared" si="218"/>
        <v>42790.885243055556</v>
      </c>
      <c r="T2326" s="14">
        <f t="shared" si="219"/>
        <v>42820.843576388885</v>
      </c>
      <c r="U2326" s="64">
        <f t="shared" si="220"/>
        <v>29.958333333328483</v>
      </c>
      <c r="V2326" s="13" t="str">
        <f t="shared" si="221"/>
        <v>underfunded</v>
      </c>
    </row>
    <row r="2327" spans="1:22" ht="48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8333</v>
      </c>
      <c r="R2327" t="s">
        <v>8349</v>
      </c>
      <c r="S2327" s="14">
        <f t="shared" si="218"/>
        <v>42794.022349537037</v>
      </c>
      <c r="T2327" s="14">
        <f t="shared" si="219"/>
        <v>42823.980682870373</v>
      </c>
      <c r="U2327" s="64">
        <f t="shared" si="220"/>
        <v>29.958333333335759</v>
      </c>
      <c r="V2327" s="13" t="str">
        <f t="shared" si="221"/>
        <v>underfunded</v>
      </c>
    </row>
    <row r="2328" spans="1:22" ht="48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8333</v>
      </c>
      <c r="R2328" t="s">
        <v>8349</v>
      </c>
      <c r="S2328" s="14">
        <f t="shared" si="218"/>
        <v>42804.034120370372</v>
      </c>
      <c r="T2328" s="14">
        <f t="shared" si="219"/>
        <v>42855.708333333328</v>
      </c>
      <c r="U2328" s="64">
        <f t="shared" si="220"/>
        <v>51.674212962956517</v>
      </c>
      <c r="V2328" s="13" t="str">
        <f t="shared" si="221"/>
        <v>underfunded</v>
      </c>
    </row>
    <row r="2329" spans="1:22" ht="3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8333</v>
      </c>
      <c r="R2329" t="s">
        <v>8349</v>
      </c>
      <c r="S2329" s="14">
        <f t="shared" si="218"/>
        <v>41842.917129629634</v>
      </c>
      <c r="T2329" s="14">
        <f t="shared" si="219"/>
        <v>41877.917129629634</v>
      </c>
      <c r="U2329" s="64">
        <f t="shared" si="220"/>
        <v>35</v>
      </c>
      <c r="V2329" s="13" t="str">
        <f t="shared" si="221"/>
        <v>funded</v>
      </c>
    </row>
    <row r="2330" spans="1:22" ht="6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8333</v>
      </c>
      <c r="R2330" t="s">
        <v>8349</v>
      </c>
      <c r="S2330" s="14">
        <f t="shared" si="218"/>
        <v>42139.781678240746</v>
      </c>
      <c r="T2330" s="14">
        <f t="shared" si="219"/>
        <v>42169.781678240746</v>
      </c>
      <c r="U2330" s="64">
        <f t="shared" si="220"/>
        <v>30</v>
      </c>
      <c r="V2330" s="13" t="str">
        <f t="shared" si="221"/>
        <v>funded</v>
      </c>
    </row>
    <row r="2331" spans="1:22" ht="48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8333</v>
      </c>
      <c r="R2331" t="s">
        <v>8349</v>
      </c>
      <c r="S2331" s="14">
        <f t="shared" si="218"/>
        <v>41807.624374999999</v>
      </c>
      <c r="T2331" s="14">
        <f t="shared" si="219"/>
        <v>41837.624374999999</v>
      </c>
      <c r="U2331" s="64">
        <f t="shared" si="220"/>
        <v>30</v>
      </c>
      <c r="V2331" s="13" t="str">
        <f t="shared" si="221"/>
        <v>funded</v>
      </c>
    </row>
    <row r="2332" spans="1:22" ht="48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8333</v>
      </c>
      <c r="R2332" t="s">
        <v>8349</v>
      </c>
      <c r="S2332" s="14">
        <f t="shared" si="218"/>
        <v>42332.89980324074</v>
      </c>
      <c r="T2332" s="14">
        <f t="shared" si="219"/>
        <v>42363</v>
      </c>
      <c r="U2332" s="64">
        <f t="shared" si="220"/>
        <v>30.100196759260143</v>
      </c>
      <c r="V2332" s="13" t="str">
        <f t="shared" si="221"/>
        <v>funded</v>
      </c>
    </row>
    <row r="2333" spans="1:22" ht="48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8333</v>
      </c>
      <c r="R2333" t="s">
        <v>8349</v>
      </c>
      <c r="S2333" s="14">
        <f t="shared" si="218"/>
        <v>41839.005671296298</v>
      </c>
      <c r="T2333" s="14">
        <f t="shared" si="219"/>
        <v>41869.005671296298</v>
      </c>
      <c r="U2333" s="64">
        <f t="shared" si="220"/>
        <v>30</v>
      </c>
      <c r="V2333" s="13" t="str">
        <f t="shared" si="221"/>
        <v>funded</v>
      </c>
    </row>
    <row r="2334" spans="1:22" ht="48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8333</v>
      </c>
      <c r="R2334" t="s">
        <v>8349</v>
      </c>
      <c r="S2334" s="14">
        <f t="shared" si="218"/>
        <v>42011.628136574072</v>
      </c>
      <c r="T2334" s="14">
        <f t="shared" si="219"/>
        <v>42041.628136574072</v>
      </c>
      <c r="U2334" s="64">
        <f t="shared" si="220"/>
        <v>30</v>
      </c>
      <c r="V2334" s="13" t="str">
        <f t="shared" si="221"/>
        <v>funded</v>
      </c>
    </row>
    <row r="2335" spans="1:22" ht="48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8333</v>
      </c>
      <c r="R2335" t="s">
        <v>8349</v>
      </c>
      <c r="S2335" s="14">
        <f t="shared" si="218"/>
        <v>41767.650347222225</v>
      </c>
      <c r="T2335" s="14">
        <f t="shared" si="219"/>
        <v>41788.743055555555</v>
      </c>
      <c r="U2335" s="64">
        <f t="shared" si="220"/>
        <v>21.092708333329938</v>
      </c>
      <c r="V2335" s="13" t="str">
        <f t="shared" si="221"/>
        <v>funded</v>
      </c>
    </row>
    <row r="2336" spans="1:22" ht="48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8333</v>
      </c>
      <c r="R2336" t="s">
        <v>8349</v>
      </c>
      <c r="S2336" s="14">
        <f t="shared" si="218"/>
        <v>41918.670115740737</v>
      </c>
      <c r="T2336" s="14">
        <f t="shared" si="219"/>
        <v>41948.731944444444</v>
      </c>
      <c r="U2336" s="64">
        <f t="shared" si="220"/>
        <v>30.061828703706851</v>
      </c>
      <c r="V2336" s="13" t="str">
        <f t="shared" si="221"/>
        <v>funded</v>
      </c>
    </row>
    <row r="2337" spans="1:22" ht="48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8333</v>
      </c>
      <c r="R2337" t="s">
        <v>8349</v>
      </c>
      <c r="S2337" s="14">
        <f t="shared" si="218"/>
        <v>41771.572256944448</v>
      </c>
      <c r="T2337" s="14">
        <f t="shared" si="219"/>
        <v>41801.572256944448</v>
      </c>
      <c r="U2337" s="64">
        <f t="shared" si="220"/>
        <v>30</v>
      </c>
      <c r="V2337" s="13" t="str">
        <f t="shared" si="221"/>
        <v>funded</v>
      </c>
    </row>
    <row r="2338" spans="1:22" ht="48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8333</v>
      </c>
      <c r="R2338" t="s">
        <v>8349</v>
      </c>
      <c r="S2338" s="14">
        <f t="shared" si="218"/>
        <v>41666.924710648149</v>
      </c>
      <c r="T2338" s="14">
        <f t="shared" si="219"/>
        <v>41706.924710648149</v>
      </c>
      <c r="U2338" s="64">
        <f t="shared" si="220"/>
        <v>40</v>
      </c>
      <c r="V2338" s="13" t="str">
        <f t="shared" si="221"/>
        <v>funded</v>
      </c>
    </row>
    <row r="2339" spans="1:22" ht="3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8333</v>
      </c>
      <c r="R2339" t="s">
        <v>8349</v>
      </c>
      <c r="S2339" s="14">
        <f t="shared" si="218"/>
        <v>41786.640543981484</v>
      </c>
      <c r="T2339" s="14">
        <f t="shared" si="219"/>
        <v>41816.640543981484</v>
      </c>
      <c r="U2339" s="64">
        <f t="shared" si="220"/>
        <v>30</v>
      </c>
      <c r="V2339" s="13" t="str">
        <f t="shared" si="221"/>
        <v>funded</v>
      </c>
    </row>
    <row r="2340" spans="1:22" ht="48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8333</v>
      </c>
      <c r="R2340" t="s">
        <v>8349</v>
      </c>
      <c r="S2340" s="14">
        <f t="shared" si="218"/>
        <v>41789.896805555552</v>
      </c>
      <c r="T2340" s="14">
        <f t="shared" si="219"/>
        <v>41819.896805555552</v>
      </c>
      <c r="U2340" s="64">
        <f t="shared" si="220"/>
        <v>30</v>
      </c>
      <c r="V2340" s="13" t="str">
        <f t="shared" si="221"/>
        <v>funded</v>
      </c>
    </row>
    <row r="2341" spans="1:22" ht="48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8333</v>
      </c>
      <c r="R2341" t="s">
        <v>8349</v>
      </c>
      <c r="S2341" s="14">
        <f t="shared" si="218"/>
        <v>42692.79987268518</v>
      </c>
      <c r="T2341" s="14">
        <f t="shared" si="219"/>
        <v>42723.332638888889</v>
      </c>
      <c r="U2341" s="64">
        <f t="shared" si="220"/>
        <v>30.532766203708888</v>
      </c>
      <c r="V2341" s="13" t="str">
        <f t="shared" si="221"/>
        <v>funded</v>
      </c>
    </row>
    <row r="2342" spans="1:22" ht="48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8333</v>
      </c>
      <c r="R2342" t="s">
        <v>8349</v>
      </c>
      <c r="S2342" s="14">
        <f t="shared" si="218"/>
        <v>42643.642800925925</v>
      </c>
      <c r="T2342" s="14">
        <f t="shared" si="219"/>
        <v>42673.642800925925</v>
      </c>
      <c r="U2342" s="64">
        <f t="shared" si="220"/>
        <v>30</v>
      </c>
      <c r="V2342" s="13" t="str">
        <f t="shared" si="221"/>
        <v>funded</v>
      </c>
    </row>
    <row r="2343" spans="1:22" ht="48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0" t="s">
        <v>8316</v>
      </c>
      <c r="R2343" t="s">
        <v>8317</v>
      </c>
      <c r="S2343" s="14">
        <f t="shared" si="218"/>
        <v>42167.813703703709</v>
      </c>
      <c r="T2343" s="14">
        <f t="shared" si="219"/>
        <v>42197.813703703709</v>
      </c>
      <c r="U2343" s="64">
        <f t="shared" si="220"/>
        <v>30</v>
      </c>
      <c r="V2343" s="13" t="str">
        <f t="shared" si="221"/>
        <v>underfunded</v>
      </c>
    </row>
    <row r="2344" spans="1:22" ht="48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0" t="s">
        <v>8316</v>
      </c>
      <c r="R2344" t="s">
        <v>8317</v>
      </c>
      <c r="S2344" s="14">
        <f t="shared" si="218"/>
        <v>41897.702199074076</v>
      </c>
      <c r="T2344" s="14">
        <f t="shared" si="219"/>
        <v>41918.208333333336</v>
      </c>
      <c r="U2344" s="64">
        <f t="shared" si="220"/>
        <v>20.506134259259852</v>
      </c>
      <c r="V2344" s="13" t="str">
        <f t="shared" si="221"/>
        <v>underfunded</v>
      </c>
    </row>
    <row r="2345" spans="1:22" ht="48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8316</v>
      </c>
      <c r="R2345" t="s">
        <v>8317</v>
      </c>
      <c r="S2345" s="14">
        <f t="shared" si="218"/>
        <v>42327.825289351851</v>
      </c>
      <c r="T2345" s="14">
        <f t="shared" si="219"/>
        <v>42377.82430555555</v>
      </c>
      <c r="U2345" s="64">
        <f t="shared" si="220"/>
        <v>49.999016203699284</v>
      </c>
      <c r="V2345" s="13" t="str">
        <f t="shared" si="221"/>
        <v>underfunded</v>
      </c>
    </row>
    <row r="2346" spans="1:22" ht="48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0" t="s">
        <v>8316</v>
      </c>
      <c r="R2346" t="s">
        <v>8317</v>
      </c>
      <c r="S2346" s="14">
        <f t="shared" si="218"/>
        <v>42515.727650462963</v>
      </c>
      <c r="T2346" s="14">
        <f t="shared" si="219"/>
        <v>42545.727650462963</v>
      </c>
      <c r="U2346" s="64">
        <f t="shared" si="220"/>
        <v>30</v>
      </c>
      <c r="V2346" s="13" t="str">
        <f t="shared" si="221"/>
        <v>underfunded</v>
      </c>
    </row>
    <row r="2347" spans="1:22" ht="48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0" t="s">
        <v>8316</v>
      </c>
      <c r="R2347" t="s">
        <v>8317</v>
      </c>
      <c r="S2347" s="14">
        <f t="shared" si="218"/>
        <v>42060.001805555556</v>
      </c>
      <c r="T2347" s="14">
        <f t="shared" si="219"/>
        <v>42094.985416666663</v>
      </c>
      <c r="U2347" s="64">
        <f t="shared" si="220"/>
        <v>34.983611111107166</v>
      </c>
      <c r="V2347" s="13" t="str">
        <f t="shared" si="221"/>
        <v>underfunded</v>
      </c>
    </row>
    <row r="2348" spans="1:22" ht="48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0" t="s">
        <v>8316</v>
      </c>
      <c r="R2348" t="s">
        <v>8317</v>
      </c>
      <c r="S2348" s="14">
        <f t="shared" si="218"/>
        <v>42615.79896990741</v>
      </c>
      <c r="T2348" s="14">
        <f t="shared" si="219"/>
        <v>42660.79896990741</v>
      </c>
      <c r="U2348" s="64">
        <f t="shared" si="220"/>
        <v>45</v>
      </c>
      <c r="V2348" s="13" t="str">
        <f t="shared" si="221"/>
        <v>underfunded</v>
      </c>
    </row>
    <row r="2349" spans="1:22" ht="48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8316</v>
      </c>
      <c r="R2349" t="s">
        <v>8317</v>
      </c>
      <c r="S2349" s="14">
        <f t="shared" si="218"/>
        <v>42577.607361111113</v>
      </c>
      <c r="T2349" s="14">
        <f t="shared" si="219"/>
        <v>42607.607361111113</v>
      </c>
      <c r="U2349" s="64">
        <f t="shared" si="220"/>
        <v>30</v>
      </c>
      <c r="V2349" s="13" t="str">
        <f t="shared" si="221"/>
        <v>underfunded</v>
      </c>
    </row>
    <row r="2350" spans="1:22" ht="48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0" t="s">
        <v>8316</v>
      </c>
      <c r="R2350" t="s">
        <v>8317</v>
      </c>
      <c r="S2350" s="14">
        <f t="shared" si="218"/>
        <v>42360.932152777779</v>
      </c>
      <c r="T2350" s="14">
        <f t="shared" si="219"/>
        <v>42420.932152777779</v>
      </c>
      <c r="U2350" s="64">
        <f t="shared" si="220"/>
        <v>60</v>
      </c>
      <c r="V2350" s="13" t="str">
        <f t="shared" si="221"/>
        <v>underfunded</v>
      </c>
    </row>
    <row r="2351" spans="1:22" ht="48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0" t="s">
        <v>8316</v>
      </c>
      <c r="R2351" t="s">
        <v>8317</v>
      </c>
      <c r="S2351" s="14">
        <f t="shared" si="218"/>
        <v>42198.775787037041</v>
      </c>
      <c r="T2351" s="14">
        <f t="shared" si="219"/>
        <v>42227.775787037041</v>
      </c>
      <c r="U2351" s="64">
        <f t="shared" si="220"/>
        <v>29</v>
      </c>
      <c r="V2351" s="13" t="str">
        <f t="shared" si="221"/>
        <v>underfunded</v>
      </c>
    </row>
    <row r="2352" spans="1:22" ht="3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0" t="s">
        <v>8316</v>
      </c>
      <c r="R2352" t="s">
        <v>8317</v>
      </c>
      <c r="S2352" s="14">
        <f t="shared" si="218"/>
        <v>42708.842245370368</v>
      </c>
      <c r="T2352" s="14">
        <f t="shared" si="219"/>
        <v>42738.842245370368</v>
      </c>
      <c r="U2352" s="64">
        <f t="shared" si="220"/>
        <v>30</v>
      </c>
      <c r="V2352" s="13" t="str">
        <f t="shared" si="221"/>
        <v>underfunded</v>
      </c>
    </row>
    <row r="2353" spans="1:22" ht="3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8316</v>
      </c>
      <c r="R2353" t="s">
        <v>8317</v>
      </c>
      <c r="S2353" s="14">
        <f t="shared" si="218"/>
        <v>42094.101145833338</v>
      </c>
      <c r="T2353" s="14">
        <f t="shared" si="219"/>
        <v>42124.101145833338</v>
      </c>
      <c r="U2353" s="64">
        <f t="shared" si="220"/>
        <v>30</v>
      </c>
      <c r="V2353" s="13" t="str">
        <f t="shared" si="221"/>
        <v>underfunded</v>
      </c>
    </row>
    <row r="2354" spans="1:22" ht="48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0" t="s">
        <v>8316</v>
      </c>
      <c r="R2354" t="s">
        <v>8317</v>
      </c>
      <c r="S2354" s="14">
        <f t="shared" si="218"/>
        <v>42101.633703703701</v>
      </c>
      <c r="T2354" s="14">
        <f t="shared" si="219"/>
        <v>42161.633703703701</v>
      </c>
      <c r="U2354" s="64">
        <f t="shared" si="220"/>
        <v>60</v>
      </c>
      <c r="V2354" s="13" t="str">
        <f t="shared" si="221"/>
        <v>underfunded</v>
      </c>
    </row>
    <row r="2355" spans="1:22" ht="48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0" t="s">
        <v>8316</v>
      </c>
      <c r="R2355" t="s">
        <v>8317</v>
      </c>
      <c r="S2355" s="14">
        <f t="shared" si="218"/>
        <v>42103.676180555558</v>
      </c>
      <c r="T2355" s="14">
        <f t="shared" si="219"/>
        <v>42115.676180555558</v>
      </c>
      <c r="U2355" s="64">
        <f t="shared" si="220"/>
        <v>12</v>
      </c>
      <c r="V2355" s="13" t="str">
        <f t="shared" si="221"/>
        <v>underfunded</v>
      </c>
    </row>
    <row r="2356" spans="1:22" ht="48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0" t="s">
        <v>8316</v>
      </c>
      <c r="R2356" t="s">
        <v>8317</v>
      </c>
      <c r="S2356" s="14">
        <f t="shared" si="218"/>
        <v>41954.722916666666</v>
      </c>
      <c r="T2356" s="14">
        <f t="shared" si="219"/>
        <v>42014.722916666666</v>
      </c>
      <c r="U2356" s="64">
        <f t="shared" si="220"/>
        <v>60</v>
      </c>
      <c r="V2356" s="13" t="str">
        <f t="shared" si="221"/>
        <v>underfunded</v>
      </c>
    </row>
    <row r="2357" spans="1:22" ht="48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8316</v>
      </c>
      <c r="R2357" t="s">
        <v>8317</v>
      </c>
      <c r="S2357" s="14">
        <f t="shared" si="218"/>
        <v>42096.918240740735</v>
      </c>
      <c r="T2357" s="14">
        <f t="shared" si="219"/>
        <v>42126.918240740735</v>
      </c>
      <c r="U2357" s="64">
        <f t="shared" si="220"/>
        <v>30</v>
      </c>
      <c r="V2357" s="13" t="str">
        <f t="shared" si="221"/>
        <v>underfunded</v>
      </c>
    </row>
    <row r="2358" spans="1:22" ht="3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0" t="s">
        <v>8316</v>
      </c>
      <c r="R2358" t="s">
        <v>8317</v>
      </c>
      <c r="S2358" s="14">
        <f t="shared" si="218"/>
        <v>42130.78361111111</v>
      </c>
      <c r="T2358" s="14">
        <f t="shared" si="219"/>
        <v>42160.78361111111</v>
      </c>
      <c r="U2358" s="64">
        <f t="shared" si="220"/>
        <v>30</v>
      </c>
      <c r="V2358" s="13" t="str">
        <f t="shared" si="221"/>
        <v>underfunded</v>
      </c>
    </row>
    <row r="2359" spans="1:22" ht="3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0" t="s">
        <v>8316</v>
      </c>
      <c r="R2359" t="s">
        <v>8317</v>
      </c>
      <c r="S2359" s="14">
        <f t="shared" si="218"/>
        <v>42264.620115740734</v>
      </c>
      <c r="T2359" s="14">
        <f t="shared" si="219"/>
        <v>42294.620115740734</v>
      </c>
      <c r="U2359" s="64">
        <f t="shared" si="220"/>
        <v>30</v>
      </c>
      <c r="V2359" s="13" t="str">
        <f t="shared" si="221"/>
        <v>underfunded</v>
      </c>
    </row>
    <row r="2360" spans="1:22" ht="48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0" t="s">
        <v>8316</v>
      </c>
      <c r="R2360" t="s">
        <v>8317</v>
      </c>
      <c r="S2360" s="14">
        <f t="shared" si="218"/>
        <v>41978.930972222224</v>
      </c>
      <c r="T2360" s="14">
        <f t="shared" si="219"/>
        <v>42035.027083333334</v>
      </c>
      <c r="U2360" s="64">
        <f t="shared" si="220"/>
        <v>56.096111111110076</v>
      </c>
      <c r="V2360" s="13" t="str">
        <f t="shared" si="221"/>
        <v>underfunded</v>
      </c>
    </row>
    <row r="2361" spans="1:22" ht="48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8316</v>
      </c>
      <c r="R2361" t="s">
        <v>8317</v>
      </c>
      <c r="S2361" s="14">
        <f t="shared" si="218"/>
        <v>42159.649583333332</v>
      </c>
      <c r="T2361" s="14">
        <f t="shared" si="219"/>
        <v>42219.649583333332</v>
      </c>
      <c r="U2361" s="64">
        <f t="shared" si="220"/>
        <v>60</v>
      </c>
      <c r="V2361" s="13" t="str">
        <f t="shared" si="221"/>
        <v>underfunded</v>
      </c>
    </row>
    <row r="2362" spans="1:22" ht="48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0" t="s">
        <v>8316</v>
      </c>
      <c r="R2362" t="s">
        <v>8317</v>
      </c>
      <c r="S2362" s="14">
        <f t="shared" si="218"/>
        <v>42377.70694444445</v>
      </c>
      <c r="T2362" s="14">
        <f t="shared" si="219"/>
        <v>42407.70694444445</v>
      </c>
      <c r="U2362" s="64">
        <f t="shared" si="220"/>
        <v>30</v>
      </c>
      <c r="V2362" s="13" t="str">
        <f t="shared" si="221"/>
        <v>underfunded</v>
      </c>
    </row>
    <row r="2363" spans="1:22" ht="48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0" t="s">
        <v>8316</v>
      </c>
      <c r="R2363" t="s">
        <v>8317</v>
      </c>
      <c r="S2363" s="14">
        <f t="shared" si="218"/>
        <v>42466.858888888892</v>
      </c>
      <c r="T2363" s="14">
        <f t="shared" si="219"/>
        <v>42490.916666666672</v>
      </c>
      <c r="U2363" s="64">
        <f t="shared" si="220"/>
        <v>24.057777777779847</v>
      </c>
      <c r="V2363" s="13" t="str">
        <f t="shared" si="221"/>
        <v>underfunded</v>
      </c>
    </row>
    <row r="2364" spans="1:22" ht="3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8316</v>
      </c>
      <c r="R2364" t="s">
        <v>8317</v>
      </c>
      <c r="S2364" s="14">
        <f t="shared" si="218"/>
        <v>41954.688310185185</v>
      </c>
      <c r="T2364" s="14">
        <f t="shared" si="219"/>
        <v>41984.688310185185</v>
      </c>
      <c r="U2364" s="64">
        <f t="shared" si="220"/>
        <v>30</v>
      </c>
      <c r="V2364" s="13" t="str">
        <f t="shared" si="221"/>
        <v>underfunded</v>
      </c>
    </row>
    <row r="2365" spans="1:22" ht="48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0" t="s">
        <v>8316</v>
      </c>
      <c r="R2365" t="s">
        <v>8317</v>
      </c>
      <c r="S2365" s="14">
        <f t="shared" si="218"/>
        <v>42322.011574074073</v>
      </c>
      <c r="T2365" s="14">
        <f t="shared" si="219"/>
        <v>42367.011574074073</v>
      </c>
      <c r="U2365" s="64">
        <f t="shared" si="220"/>
        <v>45</v>
      </c>
      <c r="V2365" s="13" t="str">
        <f t="shared" si="221"/>
        <v>underfunded</v>
      </c>
    </row>
    <row r="2366" spans="1:22" ht="3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0" t="s">
        <v>8316</v>
      </c>
      <c r="R2366" t="s">
        <v>8317</v>
      </c>
      <c r="S2366" s="14">
        <f t="shared" si="218"/>
        <v>42248.934675925921</v>
      </c>
      <c r="T2366" s="14">
        <f t="shared" si="219"/>
        <v>42303.934675925921</v>
      </c>
      <c r="U2366" s="64">
        <f t="shared" si="220"/>
        <v>55</v>
      </c>
      <c r="V2366" s="13" t="str">
        <f t="shared" si="221"/>
        <v>underfunded</v>
      </c>
    </row>
    <row r="2367" spans="1:22" ht="48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0" t="s">
        <v>8316</v>
      </c>
      <c r="R2367" t="s">
        <v>8317</v>
      </c>
      <c r="S2367" s="14">
        <f t="shared" si="218"/>
        <v>42346.736400462964</v>
      </c>
      <c r="T2367" s="14">
        <f t="shared" si="219"/>
        <v>42386.958333333328</v>
      </c>
      <c r="U2367" s="64">
        <f t="shared" si="220"/>
        <v>40.221932870364981</v>
      </c>
      <c r="V2367" s="13" t="str">
        <f t="shared" si="221"/>
        <v>underfunded</v>
      </c>
    </row>
    <row r="2368" spans="1:22" ht="48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8316</v>
      </c>
      <c r="R2368" t="s">
        <v>8317</v>
      </c>
      <c r="S2368" s="14">
        <f t="shared" si="218"/>
        <v>42268.531631944439</v>
      </c>
      <c r="T2368" s="14">
        <f t="shared" si="219"/>
        <v>42298.531631944439</v>
      </c>
      <c r="U2368" s="64">
        <f t="shared" si="220"/>
        <v>30</v>
      </c>
      <c r="V2368" s="13" t="str">
        <f t="shared" si="221"/>
        <v>underfunded</v>
      </c>
    </row>
    <row r="2369" spans="1:22" ht="48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8316</v>
      </c>
      <c r="R2369" t="s">
        <v>8317</v>
      </c>
      <c r="S2369" s="14">
        <f t="shared" si="218"/>
        <v>42425.970092592594</v>
      </c>
      <c r="T2369" s="14">
        <f t="shared" si="219"/>
        <v>42485.928425925929</v>
      </c>
      <c r="U2369" s="64">
        <f t="shared" si="220"/>
        <v>59.958333333335759</v>
      </c>
      <c r="V2369" s="13" t="str">
        <f t="shared" si="221"/>
        <v>underfunded</v>
      </c>
    </row>
    <row r="2370" spans="1:22" ht="48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</v>
      </c>
      <c r="P2370">
        <f t="shared" si="217"/>
        <v>50</v>
      </c>
      <c r="Q2370" s="10" t="s">
        <v>8316</v>
      </c>
      <c r="R2370" t="s">
        <v>8317</v>
      </c>
      <c r="S2370" s="14">
        <f t="shared" si="218"/>
        <v>42063.721817129626</v>
      </c>
      <c r="T2370" s="14">
        <f t="shared" si="219"/>
        <v>42108.680150462969</v>
      </c>
      <c r="U2370" s="64">
        <f t="shared" si="220"/>
        <v>44.958333333343035</v>
      </c>
      <c r="V2370" s="13" t="str">
        <f t="shared" si="221"/>
        <v>underfunded</v>
      </c>
    </row>
    <row r="2371" spans="1:22" ht="48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ROUND(E2371/D2371*100,0)</f>
        <v>0</v>
      </c>
      <c r="P2371">
        <f t="shared" ref="P2371:P2434" si="223">IFERROR(ROUND(E2371/L2371,2), 0)</f>
        <v>0</v>
      </c>
      <c r="Q2371" s="10" t="s">
        <v>8316</v>
      </c>
      <c r="R2371" t="s">
        <v>8317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 s="64">
        <f t="shared" ref="U2371:V2434" si="226">T2371-S2371</f>
        <v>30</v>
      </c>
      <c r="V2371" s="13" t="str">
        <f t="shared" ref="V2371:V2434" si="227">IF(E2371&gt;=D2371, "funded", "underfunded")</f>
        <v>underfunded</v>
      </c>
    </row>
    <row r="2372" spans="1:22" ht="48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0" t="s">
        <v>8316</v>
      </c>
      <c r="R2372" t="s">
        <v>8317</v>
      </c>
      <c r="S2372" s="14">
        <f t="shared" si="224"/>
        <v>41961.18913194444</v>
      </c>
      <c r="T2372" s="14">
        <f t="shared" si="225"/>
        <v>41991.18913194444</v>
      </c>
      <c r="U2372" s="64">
        <f t="shared" si="226"/>
        <v>30</v>
      </c>
      <c r="V2372" s="13" t="str">
        <f t="shared" si="227"/>
        <v>underfunded</v>
      </c>
    </row>
    <row r="2373" spans="1:22" ht="48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0" t="s">
        <v>8316</v>
      </c>
      <c r="R2373" t="s">
        <v>8317</v>
      </c>
      <c r="S2373" s="14">
        <f t="shared" si="224"/>
        <v>42150.777731481481</v>
      </c>
      <c r="T2373" s="14">
        <f t="shared" si="225"/>
        <v>42180.777731481481</v>
      </c>
      <c r="U2373" s="64">
        <f t="shared" si="226"/>
        <v>30</v>
      </c>
      <c r="V2373" s="13" t="str">
        <f t="shared" si="227"/>
        <v>underfunded</v>
      </c>
    </row>
    <row r="2374" spans="1:22" ht="48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8316</v>
      </c>
      <c r="R2374" t="s">
        <v>8317</v>
      </c>
      <c r="S2374" s="14">
        <f t="shared" si="224"/>
        <v>42088.069108796291</v>
      </c>
      <c r="T2374" s="14">
        <f t="shared" si="225"/>
        <v>42118.069108796291</v>
      </c>
      <c r="U2374" s="64">
        <f t="shared" si="226"/>
        <v>30</v>
      </c>
      <c r="V2374" s="13" t="str">
        <f t="shared" si="227"/>
        <v>underfunded</v>
      </c>
    </row>
    <row r="2375" spans="1:22" ht="3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0" t="s">
        <v>8316</v>
      </c>
      <c r="R2375" t="s">
        <v>8317</v>
      </c>
      <c r="S2375" s="14">
        <f t="shared" si="224"/>
        <v>42215.662314814821</v>
      </c>
      <c r="T2375" s="14">
        <f t="shared" si="225"/>
        <v>42245.662314814821</v>
      </c>
      <c r="U2375" s="64">
        <f t="shared" si="226"/>
        <v>30</v>
      </c>
      <c r="V2375" s="13" t="str">
        <f t="shared" si="227"/>
        <v>underfunded</v>
      </c>
    </row>
    <row r="2376" spans="1:22" ht="48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0" t="s">
        <v>8316</v>
      </c>
      <c r="R2376" t="s">
        <v>8317</v>
      </c>
      <c r="S2376" s="14">
        <f t="shared" si="224"/>
        <v>42017.843287037031</v>
      </c>
      <c r="T2376" s="14">
        <f t="shared" si="225"/>
        <v>42047.843287037031</v>
      </c>
      <c r="U2376" s="64">
        <f t="shared" si="226"/>
        <v>30</v>
      </c>
      <c r="V2376" s="13" t="str">
        <f t="shared" si="227"/>
        <v>underfunded</v>
      </c>
    </row>
    <row r="2377" spans="1:22" ht="48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0" t="s">
        <v>8316</v>
      </c>
      <c r="R2377" t="s">
        <v>8317</v>
      </c>
      <c r="S2377" s="14">
        <f t="shared" si="224"/>
        <v>42592.836076388892</v>
      </c>
      <c r="T2377" s="14">
        <f t="shared" si="225"/>
        <v>42622.836076388892</v>
      </c>
      <c r="U2377" s="64">
        <f t="shared" si="226"/>
        <v>30</v>
      </c>
      <c r="V2377" s="13" t="str">
        <f t="shared" si="227"/>
        <v>underfunded</v>
      </c>
    </row>
    <row r="2378" spans="1:22" ht="48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8316</v>
      </c>
      <c r="R2378" t="s">
        <v>8317</v>
      </c>
      <c r="S2378" s="14">
        <f t="shared" si="224"/>
        <v>42318.925532407404</v>
      </c>
      <c r="T2378" s="14">
        <f t="shared" si="225"/>
        <v>42348.925532407404</v>
      </c>
      <c r="U2378" s="64">
        <f t="shared" si="226"/>
        <v>30</v>
      </c>
      <c r="V2378" s="13" t="str">
        <f t="shared" si="227"/>
        <v>underfunded</v>
      </c>
    </row>
    <row r="2379" spans="1:22" ht="48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0" t="s">
        <v>8316</v>
      </c>
      <c r="R2379" t="s">
        <v>8317</v>
      </c>
      <c r="S2379" s="14">
        <f t="shared" si="224"/>
        <v>42669.870173611111</v>
      </c>
      <c r="T2379" s="14">
        <f t="shared" si="225"/>
        <v>42699.911840277782</v>
      </c>
      <c r="U2379" s="64">
        <f t="shared" si="226"/>
        <v>30.041666666671517</v>
      </c>
      <c r="V2379" s="13" t="str">
        <f t="shared" si="227"/>
        <v>underfunded</v>
      </c>
    </row>
    <row r="2380" spans="1:22" ht="3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0" t="s">
        <v>8316</v>
      </c>
      <c r="R2380" t="s">
        <v>8317</v>
      </c>
      <c r="S2380" s="14">
        <f t="shared" si="224"/>
        <v>42213.013078703705</v>
      </c>
      <c r="T2380" s="14">
        <f t="shared" si="225"/>
        <v>42242.013078703705</v>
      </c>
      <c r="U2380" s="64">
        <f t="shared" si="226"/>
        <v>29</v>
      </c>
      <c r="V2380" s="13" t="str">
        <f t="shared" si="227"/>
        <v>underfunded</v>
      </c>
    </row>
    <row r="2381" spans="1:22" ht="3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0" t="s">
        <v>8316</v>
      </c>
      <c r="R2381" t="s">
        <v>8317</v>
      </c>
      <c r="S2381" s="14">
        <f t="shared" si="224"/>
        <v>42237.016388888893</v>
      </c>
      <c r="T2381" s="14">
        <f t="shared" si="225"/>
        <v>42282.016388888893</v>
      </c>
      <c r="U2381" s="64">
        <f t="shared" si="226"/>
        <v>45</v>
      </c>
      <c r="V2381" s="13" t="str">
        <f t="shared" si="227"/>
        <v>underfunded</v>
      </c>
    </row>
    <row r="2382" spans="1:22" ht="48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0" t="s">
        <v>8316</v>
      </c>
      <c r="R2382" t="s">
        <v>8317</v>
      </c>
      <c r="S2382" s="14">
        <f t="shared" si="224"/>
        <v>42248.793310185181</v>
      </c>
      <c r="T2382" s="14">
        <f t="shared" si="225"/>
        <v>42278.793310185181</v>
      </c>
      <c r="U2382" s="64">
        <f t="shared" si="226"/>
        <v>30</v>
      </c>
      <c r="V2382" s="13" t="str">
        <f t="shared" si="227"/>
        <v>underfunded</v>
      </c>
    </row>
    <row r="2383" spans="1:22" ht="48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8316</v>
      </c>
      <c r="R2383" t="s">
        <v>8317</v>
      </c>
      <c r="S2383" s="14">
        <f t="shared" si="224"/>
        <v>42074.935740740737</v>
      </c>
      <c r="T2383" s="14">
        <f t="shared" si="225"/>
        <v>42104.935740740737</v>
      </c>
      <c r="U2383" s="64">
        <f t="shared" si="226"/>
        <v>30</v>
      </c>
      <c r="V2383" s="13" t="str">
        <f t="shared" si="227"/>
        <v>underfunded</v>
      </c>
    </row>
    <row r="2384" spans="1:22" ht="6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8316</v>
      </c>
      <c r="R2384" t="s">
        <v>8317</v>
      </c>
      <c r="S2384" s="14">
        <f t="shared" si="224"/>
        <v>42195.187534722223</v>
      </c>
      <c r="T2384" s="14">
        <f t="shared" si="225"/>
        <v>42220.187534722223</v>
      </c>
      <c r="U2384" s="64">
        <f t="shared" si="226"/>
        <v>25</v>
      </c>
      <c r="V2384" s="13" t="str">
        <f t="shared" si="227"/>
        <v>underfunded</v>
      </c>
    </row>
    <row r="2385" spans="1:22" ht="48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8316</v>
      </c>
      <c r="R2385" t="s">
        <v>8317</v>
      </c>
      <c r="S2385" s="14">
        <f t="shared" si="224"/>
        <v>42027.056793981479</v>
      </c>
      <c r="T2385" s="14">
        <f t="shared" si="225"/>
        <v>42057.056793981479</v>
      </c>
      <c r="U2385" s="64">
        <f t="shared" si="226"/>
        <v>30</v>
      </c>
      <c r="V2385" s="13" t="str">
        <f t="shared" si="227"/>
        <v>underfunded</v>
      </c>
    </row>
    <row r="2386" spans="1:22" ht="48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8316</v>
      </c>
      <c r="R2386" t="s">
        <v>8317</v>
      </c>
      <c r="S2386" s="14">
        <f t="shared" si="224"/>
        <v>41927.067627314813</v>
      </c>
      <c r="T2386" s="14">
        <f t="shared" si="225"/>
        <v>41957.109293981484</v>
      </c>
      <c r="U2386" s="64">
        <f t="shared" si="226"/>
        <v>30.041666666671517</v>
      </c>
      <c r="V2386" s="13" t="str">
        <f t="shared" si="227"/>
        <v>underfunded</v>
      </c>
    </row>
    <row r="2387" spans="1:22" ht="48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8316</v>
      </c>
      <c r="R2387" t="s">
        <v>8317</v>
      </c>
      <c r="S2387" s="14">
        <f t="shared" si="224"/>
        <v>42191.70175925926</v>
      </c>
      <c r="T2387" s="14">
        <f t="shared" si="225"/>
        <v>42221.70175925926</v>
      </c>
      <c r="U2387" s="64">
        <f t="shared" si="226"/>
        <v>30</v>
      </c>
      <c r="V2387" s="13" t="str">
        <f t="shared" si="227"/>
        <v>underfunded</v>
      </c>
    </row>
    <row r="2388" spans="1:22" ht="48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0" t="s">
        <v>8316</v>
      </c>
      <c r="R2388" t="s">
        <v>8317</v>
      </c>
      <c r="S2388" s="14">
        <f t="shared" si="224"/>
        <v>41954.838240740741</v>
      </c>
      <c r="T2388" s="14">
        <f t="shared" si="225"/>
        <v>42014.838240740741</v>
      </c>
      <c r="U2388" s="64">
        <f t="shared" si="226"/>
        <v>60</v>
      </c>
      <c r="V2388" s="13" t="str">
        <f t="shared" si="227"/>
        <v>underfunded</v>
      </c>
    </row>
    <row r="2389" spans="1:22" ht="48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8316</v>
      </c>
      <c r="R2389" t="s">
        <v>8317</v>
      </c>
      <c r="S2389" s="14">
        <f t="shared" si="224"/>
        <v>42528.626620370371</v>
      </c>
      <c r="T2389" s="14">
        <f t="shared" si="225"/>
        <v>42573.626620370371</v>
      </c>
      <c r="U2389" s="64">
        <f t="shared" si="226"/>
        <v>45</v>
      </c>
      <c r="V2389" s="13" t="str">
        <f t="shared" si="227"/>
        <v>underfunded</v>
      </c>
    </row>
    <row r="2390" spans="1:22" ht="48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8316</v>
      </c>
      <c r="R2390" t="s">
        <v>8317</v>
      </c>
      <c r="S2390" s="14">
        <f t="shared" si="224"/>
        <v>41989.853692129633</v>
      </c>
      <c r="T2390" s="14">
        <f t="shared" si="225"/>
        <v>42019.811805555553</v>
      </c>
      <c r="U2390" s="64">
        <f t="shared" si="226"/>
        <v>29.958113425920601</v>
      </c>
      <c r="V2390" s="13" t="str">
        <f t="shared" si="227"/>
        <v>underfunded</v>
      </c>
    </row>
    <row r="2391" spans="1:22" ht="48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0" t="s">
        <v>8316</v>
      </c>
      <c r="R2391" t="s">
        <v>8317</v>
      </c>
      <c r="S2391" s="14">
        <f t="shared" si="224"/>
        <v>42179.653379629628</v>
      </c>
      <c r="T2391" s="14">
        <f t="shared" si="225"/>
        <v>42210.915972222225</v>
      </c>
      <c r="U2391" s="64">
        <f t="shared" si="226"/>
        <v>31.262592592596775</v>
      </c>
      <c r="V2391" s="13" t="str">
        <f t="shared" si="227"/>
        <v>underfunded</v>
      </c>
    </row>
    <row r="2392" spans="1:22" ht="48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0" t="s">
        <v>8316</v>
      </c>
      <c r="R2392" t="s">
        <v>8317</v>
      </c>
      <c r="S2392" s="14">
        <f t="shared" si="224"/>
        <v>41968.262314814812</v>
      </c>
      <c r="T2392" s="14">
        <f t="shared" si="225"/>
        <v>42008.262314814812</v>
      </c>
      <c r="U2392" s="64">
        <f t="shared" si="226"/>
        <v>40</v>
      </c>
      <c r="V2392" s="13" t="str">
        <f t="shared" si="227"/>
        <v>underfunded</v>
      </c>
    </row>
    <row r="2393" spans="1:22" ht="3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0" t="s">
        <v>8316</v>
      </c>
      <c r="R2393" t="s">
        <v>8317</v>
      </c>
      <c r="S2393" s="14">
        <f t="shared" si="224"/>
        <v>42064.794490740736</v>
      </c>
      <c r="T2393" s="14">
        <f t="shared" si="225"/>
        <v>42094.752824074079</v>
      </c>
      <c r="U2393" s="64">
        <f t="shared" si="226"/>
        <v>29.958333333343035</v>
      </c>
      <c r="V2393" s="13" t="str">
        <f t="shared" si="227"/>
        <v>underfunded</v>
      </c>
    </row>
    <row r="2394" spans="1:22" ht="48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0" t="s">
        <v>8316</v>
      </c>
      <c r="R2394" t="s">
        <v>8317</v>
      </c>
      <c r="S2394" s="14">
        <f t="shared" si="224"/>
        <v>42276.120636574073</v>
      </c>
      <c r="T2394" s="14">
        <f t="shared" si="225"/>
        <v>42306.120636574073</v>
      </c>
      <c r="U2394" s="64">
        <f t="shared" si="226"/>
        <v>30</v>
      </c>
      <c r="V2394" s="13" t="str">
        <f t="shared" si="227"/>
        <v>underfunded</v>
      </c>
    </row>
    <row r="2395" spans="1:22" ht="48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0" t="s">
        <v>8316</v>
      </c>
      <c r="R2395" t="s">
        <v>8317</v>
      </c>
      <c r="S2395" s="14">
        <f t="shared" si="224"/>
        <v>42194.648344907408</v>
      </c>
      <c r="T2395" s="14">
        <f t="shared" si="225"/>
        <v>42224.648344907408</v>
      </c>
      <c r="U2395" s="64">
        <f t="shared" si="226"/>
        <v>30</v>
      </c>
      <c r="V2395" s="13" t="str">
        <f t="shared" si="227"/>
        <v>underfunded</v>
      </c>
    </row>
    <row r="2396" spans="1:22" ht="48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0" t="s">
        <v>8316</v>
      </c>
      <c r="R2396" t="s">
        <v>8317</v>
      </c>
      <c r="S2396" s="14">
        <f t="shared" si="224"/>
        <v>42031.362187499995</v>
      </c>
      <c r="T2396" s="14">
        <f t="shared" si="225"/>
        <v>42061.362187499995</v>
      </c>
      <c r="U2396" s="64">
        <f t="shared" si="226"/>
        <v>30</v>
      </c>
      <c r="V2396" s="13" t="str">
        <f t="shared" si="227"/>
        <v>underfunded</v>
      </c>
    </row>
    <row r="2397" spans="1:22" ht="48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0" t="s">
        <v>8316</v>
      </c>
      <c r="R2397" t="s">
        <v>8317</v>
      </c>
      <c r="S2397" s="14">
        <f t="shared" si="224"/>
        <v>42717.121377314819</v>
      </c>
      <c r="T2397" s="14">
        <f t="shared" si="225"/>
        <v>42745.372916666667</v>
      </c>
      <c r="U2397" s="64">
        <f t="shared" si="226"/>
        <v>28.251539351847896</v>
      </c>
      <c r="V2397" s="13" t="str">
        <f t="shared" si="227"/>
        <v>underfunded</v>
      </c>
    </row>
    <row r="2398" spans="1:22" ht="48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0" t="s">
        <v>8316</v>
      </c>
      <c r="R2398" t="s">
        <v>8317</v>
      </c>
      <c r="S2398" s="14">
        <f t="shared" si="224"/>
        <v>42262.849050925928</v>
      </c>
      <c r="T2398" s="14">
        <f t="shared" si="225"/>
        <v>42292.849050925928</v>
      </c>
      <c r="U2398" s="64">
        <f t="shared" si="226"/>
        <v>30</v>
      </c>
      <c r="V2398" s="13" t="str">
        <f t="shared" si="227"/>
        <v>underfunded</v>
      </c>
    </row>
    <row r="2399" spans="1:22" ht="48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0" t="s">
        <v>8316</v>
      </c>
      <c r="R2399" t="s">
        <v>8317</v>
      </c>
      <c r="S2399" s="14">
        <f t="shared" si="224"/>
        <v>41976.88490740741</v>
      </c>
      <c r="T2399" s="14">
        <f t="shared" si="225"/>
        <v>42006.88490740741</v>
      </c>
      <c r="U2399" s="64">
        <f t="shared" si="226"/>
        <v>30</v>
      </c>
      <c r="V2399" s="13" t="str">
        <f t="shared" si="227"/>
        <v>underfunded</v>
      </c>
    </row>
    <row r="2400" spans="1:22" ht="48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0" t="s">
        <v>8316</v>
      </c>
      <c r="R2400" t="s">
        <v>8317</v>
      </c>
      <c r="S2400" s="14">
        <f t="shared" si="224"/>
        <v>42157.916481481487</v>
      </c>
      <c r="T2400" s="14">
        <f t="shared" si="225"/>
        <v>42187.916481481487</v>
      </c>
      <c r="U2400" s="64">
        <f t="shared" si="226"/>
        <v>30</v>
      </c>
      <c r="V2400" s="13" t="str">
        <f t="shared" si="227"/>
        <v>underfunded</v>
      </c>
    </row>
    <row r="2401" spans="1:22" ht="48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0" t="s">
        <v>8316</v>
      </c>
      <c r="R2401" t="s">
        <v>8317</v>
      </c>
      <c r="S2401" s="14">
        <f t="shared" si="224"/>
        <v>41956.853078703702</v>
      </c>
      <c r="T2401" s="14">
        <f t="shared" si="225"/>
        <v>41991.853078703702</v>
      </c>
      <c r="U2401" s="64">
        <f t="shared" si="226"/>
        <v>35</v>
      </c>
      <c r="V2401" s="13" t="str">
        <f t="shared" si="227"/>
        <v>underfunded</v>
      </c>
    </row>
    <row r="2402" spans="1:22" ht="48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0" t="s">
        <v>8316</v>
      </c>
      <c r="R2402" t="s">
        <v>8317</v>
      </c>
      <c r="S2402" s="14">
        <f t="shared" si="224"/>
        <v>42444.268101851849</v>
      </c>
      <c r="T2402" s="14">
        <f t="shared" si="225"/>
        <v>42474.268101851849</v>
      </c>
      <c r="U2402" s="64">
        <f t="shared" si="226"/>
        <v>30</v>
      </c>
      <c r="V2402" s="13" t="str">
        <f t="shared" si="227"/>
        <v>underfunded</v>
      </c>
    </row>
    <row r="2403" spans="1:22" ht="48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8333</v>
      </c>
      <c r="R2403" t="s">
        <v>8334</v>
      </c>
      <c r="S2403" s="14">
        <f t="shared" si="224"/>
        <v>42374.822870370372</v>
      </c>
      <c r="T2403" s="14">
        <f t="shared" si="225"/>
        <v>42434.822870370372</v>
      </c>
      <c r="U2403" s="64">
        <f t="shared" si="226"/>
        <v>60</v>
      </c>
      <c r="V2403" s="13" t="str">
        <f t="shared" si="227"/>
        <v>underfunded</v>
      </c>
    </row>
    <row r="2404" spans="1:22" ht="16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0" t="s">
        <v>8333</v>
      </c>
      <c r="R2404" t="s">
        <v>8334</v>
      </c>
      <c r="S2404" s="14">
        <f t="shared" si="224"/>
        <v>42107.679756944446</v>
      </c>
      <c r="T2404" s="14">
        <f t="shared" si="225"/>
        <v>42137.679756944446</v>
      </c>
      <c r="U2404" s="64">
        <f t="shared" si="226"/>
        <v>30</v>
      </c>
      <c r="V2404" s="13" t="str">
        <f t="shared" si="227"/>
        <v>underfunded</v>
      </c>
    </row>
    <row r="2405" spans="1:22" ht="48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8333</v>
      </c>
      <c r="R2405" t="s">
        <v>8334</v>
      </c>
      <c r="S2405" s="14">
        <f t="shared" si="224"/>
        <v>42399.882615740738</v>
      </c>
      <c r="T2405" s="14">
        <f t="shared" si="225"/>
        <v>42459.840949074074</v>
      </c>
      <c r="U2405" s="64">
        <f t="shared" si="226"/>
        <v>59.958333333335759</v>
      </c>
      <c r="V2405" s="13" t="str">
        <f t="shared" si="227"/>
        <v>underfunded</v>
      </c>
    </row>
    <row r="2406" spans="1:22" ht="48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0" t="s">
        <v>8333</v>
      </c>
      <c r="R2406" t="s">
        <v>8334</v>
      </c>
      <c r="S2406" s="14">
        <f t="shared" si="224"/>
        <v>42342.03943287037</v>
      </c>
      <c r="T2406" s="14">
        <f t="shared" si="225"/>
        <v>42372.03943287037</v>
      </c>
      <c r="U2406" s="64">
        <f t="shared" si="226"/>
        <v>30</v>
      </c>
      <c r="V2406" s="13" t="str">
        <f t="shared" si="227"/>
        <v>underfunded</v>
      </c>
    </row>
    <row r="2407" spans="1:22" ht="3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8333</v>
      </c>
      <c r="R2407" t="s">
        <v>8334</v>
      </c>
      <c r="S2407" s="14">
        <f t="shared" si="224"/>
        <v>42595.585358796292</v>
      </c>
      <c r="T2407" s="14">
        <f t="shared" si="225"/>
        <v>42616.585358796292</v>
      </c>
      <c r="U2407" s="64">
        <f t="shared" si="226"/>
        <v>21</v>
      </c>
      <c r="V2407" s="13" t="str">
        <f t="shared" si="227"/>
        <v>underfunded</v>
      </c>
    </row>
    <row r="2408" spans="1:22" ht="48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8333</v>
      </c>
      <c r="R2408" t="s">
        <v>8334</v>
      </c>
      <c r="S2408" s="14">
        <f t="shared" si="224"/>
        <v>41983.110995370371</v>
      </c>
      <c r="T2408" s="14">
        <f t="shared" si="225"/>
        <v>42023.110995370371</v>
      </c>
      <c r="U2408" s="64">
        <f t="shared" si="226"/>
        <v>40</v>
      </c>
      <c r="V2408" s="13" t="str">
        <f t="shared" si="227"/>
        <v>underfunded</v>
      </c>
    </row>
    <row r="2409" spans="1:22" ht="6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8333</v>
      </c>
      <c r="R2409" t="s">
        <v>8334</v>
      </c>
      <c r="S2409" s="14">
        <f t="shared" si="224"/>
        <v>42082.575555555552</v>
      </c>
      <c r="T2409" s="14">
        <f t="shared" si="225"/>
        <v>42105.25</v>
      </c>
      <c r="U2409" s="64">
        <f t="shared" si="226"/>
        <v>22.674444444448454</v>
      </c>
      <c r="V2409" s="13" t="str">
        <f t="shared" si="227"/>
        <v>underfunded</v>
      </c>
    </row>
    <row r="2410" spans="1:22" ht="3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0" t="s">
        <v>8333</v>
      </c>
      <c r="R2410" t="s">
        <v>8334</v>
      </c>
      <c r="S2410" s="14">
        <f t="shared" si="224"/>
        <v>41919.140706018516</v>
      </c>
      <c r="T2410" s="14">
        <f t="shared" si="225"/>
        <v>41949.182372685187</v>
      </c>
      <c r="U2410" s="64">
        <f t="shared" si="226"/>
        <v>30.041666666671517</v>
      </c>
      <c r="V2410" s="13" t="str">
        <f t="shared" si="227"/>
        <v>underfunded</v>
      </c>
    </row>
    <row r="2411" spans="1:22" ht="3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8333</v>
      </c>
      <c r="R2411" t="s">
        <v>8334</v>
      </c>
      <c r="S2411" s="14">
        <f t="shared" si="224"/>
        <v>42204.875868055555</v>
      </c>
      <c r="T2411" s="14">
        <f t="shared" si="225"/>
        <v>42234.875868055555</v>
      </c>
      <c r="U2411" s="64">
        <f t="shared" si="226"/>
        <v>30</v>
      </c>
      <c r="V2411" s="13" t="str">
        <f t="shared" si="227"/>
        <v>underfunded</v>
      </c>
    </row>
    <row r="2412" spans="1:22" ht="6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0" t="s">
        <v>8333</v>
      </c>
      <c r="R2412" t="s">
        <v>8334</v>
      </c>
      <c r="S2412" s="14">
        <f t="shared" si="224"/>
        <v>42224.408275462964</v>
      </c>
      <c r="T2412" s="14">
        <f t="shared" si="225"/>
        <v>42254.408275462964</v>
      </c>
      <c r="U2412" s="64">
        <f t="shared" si="226"/>
        <v>30</v>
      </c>
      <c r="V2412" s="13" t="str">
        <f t="shared" si="227"/>
        <v>underfunded</v>
      </c>
    </row>
    <row r="2413" spans="1:22" ht="48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8333</v>
      </c>
      <c r="R2413" t="s">
        <v>8334</v>
      </c>
      <c r="S2413" s="14">
        <f t="shared" si="224"/>
        <v>42211.732430555552</v>
      </c>
      <c r="T2413" s="14">
        <f t="shared" si="225"/>
        <v>42241.732430555552</v>
      </c>
      <c r="U2413" s="64">
        <f t="shared" si="226"/>
        <v>30</v>
      </c>
      <c r="V2413" s="13" t="str">
        <f t="shared" si="227"/>
        <v>underfunded</v>
      </c>
    </row>
    <row r="2414" spans="1:22" ht="48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0" t="s">
        <v>8333</v>
      </c>
      <c r="R2414" t="s">
        <v>8334</v>
      </c>
      <c r="S2414" s="14">
        <f t="shared" si="224"/>
        <v>42655.736956018518</v>
      </c>
      <c r="T2414" s="14">
        <f t="shared" si="225"/>
        <v>42700.778622685189</v>
      </c>
      <c r="U2414" s="64">
        <f t="shared" si="226"/>
        <v>45.041666666671517</v>
      </c>
      <c r="V2414" s="13" t="str">
        <f t="shared" si="227"/>
        <v>underfunded</v>
      </c>
    </row>
    <row r="2415" spans="1:22" ht="48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8333</v>
      </c>
      <c r="R2415" t="s">
        <v>8334</v>
      </c>
      <c r="S2415" s="14">
        <f t="shared" si="224"/>
        <v>41760.10974537037</v>
      </c>
      <c r="T2415" s="14">
        <f t="shared" si="225"/>
        <v>41790.979166666664</v>
      </c>
      <c r="U2415" s="64">
        <f t="shared" si="226"/>
        <v>30.869421296294604</v>
      </c>
      <c r="V2415" s="13" t="str">
        <f t="shared" si="227"/>
        <v>underfunded</v>
      </c>
    </row>
    <row r="2416" spans="1:22" ht="48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8333</v>
      </c>
      <c r="R2416" t="s">
        <v>8334</v>
      </c>
      <c r="S2416" s="14">
        <f t="shared" si="224"/>
        <v>42198.695138888885</v>
      </c>
      <c r="T2416" s="14">
        <f t="shared" si="225"/>
        <v>42238.165972222225</v>
      </c>
      <c r="U2416" s="64">
        <f t="shared" si="226"/>
        <v>39.470833333340124</v>
      </c>
      <c r="V2416" s="13" t="str">
        <f t="shared" si="227"/>
        <v>underfunded</v>
      </c>
    </row>
    <row r="2417" spans="1:22" ht="48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8333</v>
      </c>
      <c r="R2417" t="s">
        <v>8334</v>
      </c>
      <c r="S2417" s="14">
        <f t="shared" si="224"/>
        <v>42536.862800925926</v>
      </c>
      <c r="T2417" s="14">
        <f t="shared" si="225"/>
        <v>42566.862800925926</v>
      </c>
      <c r="U2417" s="64">
        <f t="shared" si="226"/>
        <v>30</v>
      </c>
      <c r="V2417" s="13" t="str">
        <f t="shared" si="227"/>
        <v>underfunded</v>
      </c>
    </row>
    <row r="2418" spans="1:22" ht="48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0" t="s">
        <v>8333</v>
      </c>
      <c r="R2418" t="s">
        <v>8334</v>
      </c>
      <c r="S2418" s="14">
        <f t="shared" si="224"/>
        <v>42019.737766203703</v>
      </c>
      <c r="T2418" s="14">
        <f t="shared" si="225"/>
        <v>42077.625</v>
      </c>
      <c r="U2418" s="64">
        <f t="shared" si="226"/>
        <v>57.887233796296641</v>
      </c>
      <c r="V2418" s="13" t="str">
        <f t="shared" si="227"/>
        <v>underfunded</v>
      </c>
    </row>
    <row r="2419" spans="1:22" ht="48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0" t="s">
        <v>8333</v>
      </c>
      <c r="R2419" t="s">
        <v>8334</v>
      </c>
      <c r="S2419" s="14">
        <f t="shared" si="224"/>
        <v>41831.884108796294</v>
      </c>
      <c r="T2419" s="14">
        <f t="shared" si="225"/>
        <v>41861.884108796294</v>
      </c>
      <c r="U2419" s="64">
        <f t="shared" si="226"/>
        <v>30</v>
      </c>
      <c r="V2419" s="13" t="str">
        <f t="shared" si="227"/>
        <v>underfunded</v>
      </c>
    </row>
    <row r="2420" spans="1:22" ht="16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0" t="s">
        <v>8333</v>
      </c>
      <c r="R2420" t="s">
        <v>8334</v>
      </c>
      <c r="S2420" s="14">
        <f t="shared" si="224"/>
        <v>42027.856990740736</v>
      </c>
      <c r="T2420" s="14">
        <f t="shared" si="225"/>
        <v>42087.815324074079</v>
      </c>
      <c r="U2420" s="64">
        <f t="shared" si="226"/>
        <v>59.958333333343035</v>
      </c>
      <c r="V2420" s="13" t="str">
        <f t="shared" si="227"/>
        <v>underfunded</v>
      </c>
    </row>
    <row r="2421" spans="1:22" ht="48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0" t="s">
        <v>8333</v>
      </c>
      <c r="R2421" t="s">
        <v>8334</v>
      </c>
      <c r="S2421" s="14">
        <f t="shared" si="224"/>
        <v>41993.738298611104</v>
      </c>
      <c r="T2421" s="14">
        <f t="shared" si="225"/>
        <v>42053.738298611104</v>
      </c>
      <c r="U2421" s="64">
        <f t="shared" si="226"/>
        <v>60</v>
      </c>
      <c r="V2421" s="13" t="str">
        <f t="shared" si="227"/>
        <v>underfunded</v>
      </c>
    </row>
    <row r="2422" spans="1:22" ht="48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8333</v>
      </c>
      <c r="R2422" t="s">
        <v>8334</v>
      </c>
      <c r="S2422" s="14">
        <f t="shared" si="224"/>
        <v>41893.028877314813</v>
      </c>
      <c r="T2422" s="14">
        <f t="shared" si="225"/>
        <v>41953.070543981477</v>
      </c>
      <c r="U2422" s="64">
        <f t="shared" si="226"/>
        <v>60.041666666664241</v>
      </c>
      <c r="V2422" s="13" t="str">
        <f t="shared" si="227"/>
        <v>underfunded</v>
      </c>
    </row>
    <row r="2423" spans="1:22" ht="3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0" t="s">
        <v>8333</v>
      </c>
      <c r="R2423" t="s">
        <v>8334</v>
      </c>
      <c r="S2423" s="14">
        <f t="shared" si="224"/>
        <v>42026.687453703707</v>
      </c>
      <c r="T2423" s="14">
        <f t="shared" si="225"/>
        <v>42056.687453703707</v>
      </c>
      <c r="U2423" s="64">
        <f t="shared" si="226"/>
        <v>30</v>
      </c>
      <c r="V2423" s="13" t="str">
        <f t="shared" si="227"/>
        <v>underfunded</v>
      </c>
    </row>
    <row r="2424" spans="1:22" ht="3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0" t="s">
        <v>8333</v>
      </c>
      <c r="R2424" t="s">
        <v>8334</v>
      </c>
      <c r="S2424" s="14">
        <f t="shared" si="224"/>
        <v>42044.724953703699</v>
      </c>
      <c r="T2424" s="14">
        <f t="shared" si="225"/>
        <v>42074.683287037042</v>
      </c>
      <c r="U2424" s="64">
        <f t="shared" si="226"/>
        <v>29.958333333343035</v>
      </c>
      <c r="V2424" s="13" t="str">
        <f t="shared" si="227"/>
        <v>underfunded</v>
      </c>
    </row>
    <row r="2425" spans="1:22" ht="48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0" t="s">
        <v>8333</v>
      </c>
      <c r="R2425" t="s">
        <v>8334</v>
      </c>
      <c r="S2425" s="14">
        <f t="shared" si="224"/>
        <v>41974.704745370371</v>
      </c>
      <c r="T2425" s="14">
        <f t="shared" si="225"/>
        <v>42004.704745370371</v>
      </c>
      <c r="U2425" s="64">
        <f t="shared" si="226"/>
        <v>30</v>
      </c>
      <c r="V2425" s="13" t="str">
        <f t="shared" si="227"/>
        <v>underfunded</v>
      </c>
    </row>
    <row r="2426" spans="1:22" ht="3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8333</v>
      </c>
      <c r="R2426" t="s">
        <v>8334</v>
      </c>
      <c r="S2426" s="14">
        <f t="shared" si="224"/>
        <v>41909.892453703702</v>
      </c>
      <c r="T2426" s="14">
        <f t="shared" si="225"/>
        <v>41939.892453703702</v>
      </c>
      <c r="U2426" s="64">
        <f t="shared" si="226"/>
        <v>30</v>
      </c>
      <c r="V2426" s="13" t="str">
        <f t="shared" si="227"/>
        <v>underfunded</v>
      </c>
    </row>
    <row r="2427" spans="1:22" ht="48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0" t="s">
        <v>8333</v>
      </c>
      <c r="R2427" t="s">
        <v>8334</v>
      </c>
      <c r="S2427" s="14">
        <f t="shared" si="224"/>
        <v>42502.913761574076</v>
      </c>
      <c r="T2427" s="14">
        <f t="shared" si="225"/>
        <v>42517.919444444444</v>
      </c>
      <c r="U2427" s="64">
        <f t="shared" si="226"/>
        <v>15.005682870367309</v>
      </c>
      <c r="V2427" s="13" t="str">
        <f t="shared" si="227"/>
        <v>underfunded</v>
      </c>
    </row>
    <row r="2428" spans="1:22" ht="48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0" t="s">
        <v>8333</v>
      </c>
      <c r="R2428" t="s">
        <v>8334</v>
      </c>
      <c r="S2428" s="14">
        <f t="shared" si="224"/>
        <v>42164.170046296291</v>
      </c>
      <c r="T2428" s="14">
        <f t="shared" si="225"/>
        <v>42224.170046296291</v>
      </c>
      <c r="U2428" s="64">
        <f t="shared" si="226"/>
        <v>60</v>
      </c>
      <c r="V2428" s="13" t="str">
        <f t="shared" si="227"/>
        <v>underfunded</v>
      </c>
    </row>
    <row r="2429" spans="1:22" ht="3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0" t="s">
        <v>8333</v>
      </c>
      <c r="R2429" t="s">
        <v>8334</v>
      </c>
      <c r="S2429" s="14">
        <f t="shared" si="224"/>
        <v>42412.318668981476</v>
      </c>
      <c r="T2429" s="14">
        <f t="shared" si="225"/>
        <v>42452.277002314819</v>
      </c>
      <c r="U2429" s="64">
        <f t="shared" si="226"/>
        <v>39.958333333343035</v>
      </c>
      <c r="V2429" s="13" t="str">
        <f t="shared" si="227"/>
        <v>underfunded</v>
      </c>
    </row>
    <row r="2430" spans="1:22" ht="3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0" t="s">
        <v>8333</v>
      </c>
      <c r="R2430" t="s">
        <v>8334</v>
      </c>
      <c r="S2430" s="14">
        <f t="shared" si="224"/>
        <v>42045.784155092595</v>
      </c>
      <c r="T2430" s="14">
        <f t="shared" si="225"/>
        <v>42075.742488425924</v>
      </c>
      <c r="U2430" s="64">
        <f t="shared" si="226"/>
        <v>29.958333333328483</v>
      </c>
      <c r="V2430" s="13" t="str">
        <f t="shared" si="227"/>
        <v>underfunded</v>
      </c>
    </row>
    <row r="2431" spans="1:22" ht="48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8333</v>
      </c>
      <c r="R2431" t="s">
        <v>8334</v>
      </c>
      <c r="S2431" s="14">
        <f t="shared" si="224"/>
        <v>42734.879236111112</v>
      </c>
      <c r="T2431" s="14">
        <f t="shared" si="225"/>
        <v>42771.697222222225</v>
      </c>
      <c r="U2431" s="64">
        <f t="shared" si="226"/>
        <v>36.817986111112987</v>
      </c>
      <c r="V2431" s="13" t="str">
        <f t="shared" si="227"/>
        <v>underfunded</v>
      </c>
    </row>
    <row r="2432" spans="1:22" ht="48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8333</v>
      </c>
      <c r="R2432" t="s">
        <v>8334</v>
      </c>
      <c r="S2432" s="14">
        <f t="shared" si="224"/>
        <v>42382.130833333329</v>
      </c>
      <c r="T2432" s="14">
        <f t="shared" si="225"/>
        <v>42412.130833333329</v>
      </c>
      <c r="U2432" s="64">
        <f t="shared" si="226"/>
        <v>30</v>
      </c>
      <c r="V2432" s="13" t="str">
        <f t="shared" si="227"/>
        <v>underfunded</v>
      </c>
    </row>
    <row r="2433" spans="1:22" ht="3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0" t="s">
        <v>8333</v>
      </c>
      <c r="R2433" t="s">
        <v>8334</v>
      </c>
      <c r="S2433" s="14">
        <f t="shared" si="224"/>
        <v>42489.099687499998</v>
      </c>
      <c r="T2433" s="14">
        <f t="shared" si="225"/>
        <v>42549.099687499998</v>
      </c>
      <c r="U2433" s="64">
        <f t="shared" si="226"/>
        <v>60</v>
      </c>
      <c r="V2433" s="13" t="str">
        <f t="shared" si="227"/>
        <v>underfunded</v>
      </c>
    </row>
    <row r="2434" spans="1:22" ht="48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0</v>
      </c>
      <c r="P2434">
        <f t="shared" si="223"/>
        <v>1</v>
      </c>
      <c r="Q2434" s="10" t="s">
        <v>8333</v>
      </c>
      <c r="R2434" t="s">
        <v>8334</v>
      </c>
      <c r="S2434" s="14">
        <f t="shared" si="224"/>
        <v>42041.218715277777</v>
      </c>
      <c r="T2434" s="14">
        <f t="shared" si="225"/>
        <v>42071.218715277777</v>
      </c>
      <c r="U2434" s="64">
        <f t="shared" si="226"/>
        <v>30</v>
      </c>
      <c r="V2434" s="13" t="str">
        <f t="shared" si="227"/>
        <v>underfunded</v>
      </c>
    </row>
    <row r="2435" spans="1:22" ht="48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ROUND(E2435/D2435*100,0)</f>
        <v>0</v>
      </c>
      <c r="P2435">
        <f t="shared" ref="P2435:P2498" si="229">IFERROR(ROUND(E2435/L2435,2), 0)</f>
        <v>0</v>
      </c>
      <c r="Q2435" s="10" t="s">
        <v>8333</v>
      </c>
      <c r="R2435" t="s">
        <v>8334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 s="64">
        <f t="shared" ref="U2435:V2498" si="232">T2435-S2435</f>
        <v>30</v>
      </c>
      <c r="V2435" s="13" t="str">
        <f t="shared" ref="V2435:V2498" si="233">IF(E2435&gt;=D2435, "funded", "underfunded")</f>
        <v>underfunded</v>
      </c>
    </row>
    <row r="2436" spans="1:22" ht="48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0" t="s">
        <v>8333</v>
      </c>
      <c r="R2436" t="s">
        <v>8334</v>
      </c>
      <c r="S2436" s="14">
        <f t="shared" si="230"/>
        <v>42180.18604166666</v>
      </c>
      <c r="T2436" s="14">
        <f t="shared" si="231"/>
        <v>42220.18604166666</v>
      </c>
      <c r="U2436" s="64">
        <f t="shared" si="232"/>
        <v>40</v>
      </c>
      <c r="V2436" s="13" t="str">
        <f t="shared" si="233"/>
        <v>underfunded</v>
      </c>
    </row>
    <row r="2437" spans="1:22" ht="48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0" t="s">
        <v>8333</v>
      </c>
      <c r="R2437" t="s">
        <v>8334</v>
      </c>
      <c r="S2437" s="14">
        <f t="shared" si="230"/>
        <v>42252.277615740735</v>
      </c>
      <c r="T2437" s="14">
        <f t="shared" si="231"/>
        <v>42282.277615740735</v>
      </c>
      <c r="U2437" s="64">
        <f t="shared" si="232"/>
        <v>30</v>
      </c>
      <c r="V2437" s="13" t="str">
        <f t="shared" si="233"/>
        <v>underfunded</v>
      </c>
    </row>
    <row r="2438" spans="1:22" ht="48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0" t="s">
        <v>8333</v>
      </c>
      <c r="R2438" t="s">
        <v>8334</v>
      </c>
      <c r="S2438" s="14">
        <f t="shared" si="230"/>
        <v>42338.615393518514</v>
      </c>
      <c r="T2438" s="14">
        <f t="shared" si="231"/>
        <v>42398.615393518514</v>
      </c>
      <c r="U2438" s="64">
        <f t="shared" si="232"/>
        <v>60</v>
      </c>
      <c r="V2438" s="13" t="str">
        <f t="shared" si="233"/>
        <v>underfunded</v>
      </c>
    </row>
    <row r="2439" spans="1:22" ht="48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0" t="s">
        <v>8333</v>
      </c>
      <c r="R2439" t="s">
        <v>8334</v>
      </c>
      <c r="S2439" s="14">
        <f t="shared" si="230"/>
        <v>42031.965138888889</v>
      </c>
      <c r="T2439" s="14">
        <f t="shared" si="231"/>
        <v>42080.75</v>
      </c>
      <c r="U2439" s="64">
        <f t="shared" si="232"/>
        <v>48.78486111111124</v>
      </c>
      <c r="V2439" s="13" t="str">
        <f t="shared" si="233"/>
        <v>underfunded</v>
      </c>
    </row>
    <row r="2440" spans="1:22" ht="48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0" t="s">
        <v>8333</v>
      </c>
      <c r="R2440" t="s">
        <v>8334</v>
      </c>
      <c r="S2440" s="14">
        <f t="shared" si="230"/>
        <v>42285.91506944444</v>
      </c>
      <c r="T2440" s="14">
        <f t="shared" si="231"/>
        <v>42345.956736111111</v>
      </c>
      <c r="U2440" s="64">
        <f t="shared" si="232"/>
        <v>60.041666666671517</v>
      </c>
      <c r="V2440" s="13" t="str">
        <f t="shared" si="233"/>
        <v>underfunded</v>
      </c>
    </row>
    <row r="2441" spans="1:22" ht="48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0" t="s">
        <v>8333</v>
      </c>
      <c r="R2441" t="s">
        <v>8334</v>
      </c>
      <c r="S2441" s="14">
        <f t="shared" si="230"/>
        <v>42265.818622685183</v>
      </c>
      <c r="T2441" s="14">
        <f t="shared" si="231"/>
        <v>42295.818622685183</v>
      </c>
      <c r="U2441" s="64">
        <f t="shared" si="232"/>
        <v>30</v>
      </c>
      <c r="V2441" s="13" t="str">
        <f t="shared" si="233"/>
        <v>underfunded</v>
      </c>
    </row>
    <row r="2442" spans="1:22" ht="3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0" t="s">
        <v>8333</v>
      </c>
      <c r="R2442" t="s">
        <v>8334</v>
      </c>
      <c r="S2442" s="14">
        <f t="shared" si="230"/>
        <v>42383.899456018517</v>
      </c>
      <c r="T2442" s="14">
        <f t="shared" si="231"/>
        <v>42413.899456018517</v>
      </c>
      <c r="U2442" s="64">
        <f t="shared" si="232"/>
        <v>30</v>
      </c>
      <c r="V2442" s="13" t="str">
        <f t="shared" si="233"/>
        <v>underfunded</v>
      </c>
    </row>
    <row r="2443" spans="1:22" ht="3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8333</v>
      </c>
      <c r="R2443" t="s">
        <v>8349</v>
      </c>
      <c r="S2443" s="14">
        <f t="shared" si="230"/>
        <v>42187.125625000001</v>
      </c>
      <c r="T2443" s="14">
        <f t="shared" si="231"/>
        <v>42208.207638888889</v>
      </c>
      <c r="U2443" s="64">
        <f t="shared" si="232"/>
        <v>21.082013888888469</v>
      </c>
      <c r="V2443" s="13" t="str">
        <f t="shared" si="233"/>
        <v>funded</v>
      </c>
    </row>
    <row r="2444" spans="1:22" ht="3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8333</v>
      </c>
      <c r="R2444" t="s">
        <v>8349</v>
      </c>
      <c r="S2444" s="14">
        <f t="shared" si="230"/>
        <v>42052.666990740734</v>
      </c>
      <c r="T2444" s="14">
        <f t="shared" si="231"/>
        <v>42082.625324074077</v>
      </c>
      <c r="U2444" s="64">
        <f t="shared" si="232"/>
        <v>29.958333333343035</v>
      </c>
      <c r="V2444" s="13" t="str">
        <f t="shared" si="233"/>
        <v>funded</v>
      </c>
    </row>
    <row r="2445" spans="1:22" ht="48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8333</v>
      </c>
      <c r="R2445" t="s">
        <v>8349</v>
      </c>
      <c r="S2445" s="14">
        <f t="shared" si="230"/>
        <v>41836.625254629631</v>
      </c>
      <c r="T2445" s="14">
        <f t="shared" si="231"/>
        <v>41866.625254629631</v>
      </c>
      <c r="U2445" s="64">
        <f t="shared" si="232"/>
        <v>30</v>
      </c>
      <c r="V2445" s="13" t="str">
        <f t="shared" si="233"/>
        <v>funded</v>
      </c>
    </row>
    <row r="2446" spans="1:22" ht="48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8333</v>
      </c>
      <c r="R2446" t="s">
        <v>8349</v>
      </c>
      <c r="S2446" s="14">
        <f t="shared" si="230"/>
        <v>42485.754525462966</v>
      </c>
      <c r="T2446" s="14">
        <f t="shared" si="231"/>
        <v>42515.754525462966</v>
      </c>
      <c r="U2446" s="64">
        <f t="shared" si="232"/>
        <v>30</v>
      </c>
      <c r="V2446" s="13" t="str">
        <f t="shared" si="233"/>
        <v>funded</v>
      </c>
    </row>
    <row r="2447" spans="1:22" ht="6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8333</v>
      </c>
      <c r="R2447" t="s">
        <v>8349</v>
      </c>
      <c r="S2447" s="14">
        <f t="shared" si="230"/>
        <v>42243.190057870372</v>
      </c>
      <c r="T2447" s="14">
        <f t="shared" si="231"/>
        <v>42273.190057870372</v>
      </c>
      <c r="U2447" s="64">
        <f t="shared" si="232"/>
        <v>30</v>
      </c>
      <c r="V2447" s="13" t="str">
        <f t="shared" si="233"/>
        <v>funded</v>
      </c>
    </row>
    <row r="2448" spans="1:22" ht="48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8333</v>
      </c>
      <c r="R2448" t="s">
        <v>8349</v>
      </c>
      <c r="S2448" s="14">
        <f t="shared" si="230"/>
        <v>42670.602673611109</v>
      </c>
      <c r="T2448" s="14">
        <f t="shared" si="231"/>
        <v>42700.64434027778</v>
      </c>
      <c r="U2448" s="64">
        <f t="shared" si="232"/>
        <v>30.041666666671517</v>
      </c>
      <c r="V2448" s="13" t="str">
        <f t="shared" si="233"/>
        <v>funded</v>
      </c>
    </row>
    <row r="2449" spans="1:22" ht="48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8333</v>
      </c>
      <c r="R2449" t="s">
        <v>8349</v>
      </c>
      <c r="S2449" s="14">
        <f t="shared" si="230"/>
        <v>42654.469826388886</v>
      </c>
      <c r="T2449" s="14">
        <f t="shared" si="231"/>
        <v>42686.166666666672</v>
      </c>
      <c r="U2449" s="64">
        <f t="shared" si="232"/>
        <v>31.696840277785668</v>
      </c>
      <c r="V2449" s="13" t="str">
        <f t="shared" si="233"/>
        <v>funded</v>
      </c>
    </row>
    <row r="2450" spans="1:22" ht="48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8333</v>
      </c>
      <c r="R2450" t="s">
        <v>8349</v>
      </c>
      <c r="S2450" s="14">
        <f t="shared" si="230"/>
        <v>42607.316122685181</v>
      </c>
      <c r="T2450" s="14">
        <f t="shared" si="231"/>
        <v>42613.233333333337</v>
      </c>
      <c r="U2450" s="64">
        <f t="shared" si="232"/>
        <v>5.9172106481564697</v>
      </c>
      <c r="V2450" s="13" t="str">
        <f t="shared" si="233"/>
        <v>funded</v>
      </c>
    </row>
    <row r="2451" spans="1:22" ht="48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8333</v>
      </c>
      <c r="R2451" t="s">
        <v>8349</v>
      </c>
      <c r="S2451" s="14">
        <f t="shared" si="230"/>
        <v>41943.142534722225</v>
      </c>
      <c r="T2451" s="14">
        <f t="shared" si="231"/>
        <v>41973.184201388889</v>
      </c>
      <c r="U2451" s="64">
        <f t="shared" si="232"/>
        <v>30.041666666664241</v>
      </c>
      <c r="V2451" s="13" t="str">
        <f t="shared" si="233"/>
        <v>funded</v>
      </c>
    </row>
    <row r="2452" spans="1:22" ht="48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8333</v>
      </c>
      <c r="R2452" t="s">
        <v>8349</v>
      </c>
      <c r="S2452" s="14">
        <f t="shared" si="230"/>
        <v>41902.07240740741</v>
      </c>
      <c r="T2452" s="14">
        <f t="shared" si="231"/>
        <v>41940.132638888892</v>
      </c>
      <c r="U2452" s="64">
        <f t="shared" si="232"/>
        <v>38.060231481482333</v>
      </c>
      <c r="V2452" s="13" t="str">
        <f t="shared" si="233"/>
        <v>funded</v>
      </c>
    </row>
    <row r="2453" spans="1:22" ht="48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8333</v>
      </c>
      <c r="R2453" t="s">
        <v>8349</v>
      </c>
      <c r="S2453" s="14">
        <f t="shared" si="230"/>
        <v>42779.908449074079</v>
      </c>
      <c r="T2453" s="14">
        <f t="shared" si="231"/>
        <v>42799.908449074079</v>
      </c>
      <c r="U2453" s="64">
        <f t="shared" si="232"/>
        <v>20</v>
      </c>
      <c r="V2453" s="13" t="str">
        <f t="shared" si="233"/>
        <v>funded</v>
      </c>
    </row>
    <row r="2454" spans="1:22" ht="48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8333</v>
      </c>
      <c r="R2454" t="s">
        <v>8349</v>
      </c>
      <c r="S2454" s="14">
        <f t="shared" si="230"/>
        <v>42338.84375</v>
      </c>
      <c r="T2454" s="14">
        <f t="shared" si="231"/>
        <v>42367.958333333328</v>
      </c>
      <c r="U2454" s="64">
        <f t="shared" si="232"/>
        <v>29.114583333328483</v>
      </c>
      <c r="V2454" s="13" t="str">
        <f t="shared" si="233"/>
        <v>funded</v>
      </c>
    </row>
    <row r="2455" spans="1:22" ht="48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8333</v>
      </c>
      <c r="R2455" t="s">
        <v>8349</v>
      </c>
      <c r="S2455" s="14">
        <f t="shared" si="230"/>
        <v>42738.692233796297</v>
      </c>
      <c r="T2455" s="14">
        <f t="shared" si="231"/>
        <v>42768.692233796297</v>
      </c>
      <c r="U2455" s="64">
        <f t="shared" si="232"/>
        <v>30</v>
      </c>
      <c r="V2455" s="13" t="str">
        <f t="shared" si="233"/>
        <v>funded</v>
      </c>
    </row>
    <row r="2456" spans="1:22" ht="48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8333</v>
      </c>
      <c r="R2456" t="s">
        <v>8349</v>
      </c>
      <c r="S2456" s="14">
        <f t="shared" si="230"/>
        <v>42770.201481481476</v>
      </c>
      <c r="T2456" s="14">
        <f t="shared" si="231"/>
        <v>42805.201481481476</v>
      </c>
      <c r="U2456" s="64">
        <f t="shared" si="232"/>
        <v>35</v>
      </c>
      <c r="V2456" s="13" t="str">
        <f t="shared" si="233"/>
        <v>funded</v>
      </c>
    </row>
    <row r="2457" spans="1:22" ht="48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8333</v>
      </c>
      <c r="R2457" t="s">
        <v>8349</v>
      </c>
      <c r="S2457" s="14">
        <f t="shared" si="230"/>
        <v>42452.781828703708</v>
      </c>
      <c r="T2457" s="14">
        <f t="shared" si="231"/>
        <v>42480.781828703708</v>
      </c>
      <c r="U2457" s="64">
        <f t="shared" si="232"/>
        <v>28</v>
      </c>
      <c r="V2457" s="13" t="str">
        <f t="shared" si="233"/>
        <v>funded</v>
      </c>
    </row>
    <row r="2458" spans="1:22" ht="48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8333</v>
      </c>
      <c r="R2458" t="s">
        <v>8349</v>
      </c>
      <c r="S2458" s="14">
        <f t="shared" si="230"/>
        <v>42761.961099537039</v>
      </c>
      <c r="T2458" s="14">
        <f t="shared" si="231"/>
        <v>42791.961099537039</v>
      </c>
      <c r="U2458" s="64">
        <f t="shared" si="232"/>
        <v>30</v>
      </c>
      <c r="V2458" s="13" t="str">
        <f t="shared" si="233"/>
        <v>funded</v>
      </c>
    </row>
    <row r="2459" spans="1:22" ht="48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8333</v>
      </c>
      <c r="R2459" t="s">
        <v>8349</v>
      </c>
      <c r="S2459" s="14">
        <f t="shared" si="230"/>
        <v>42423.602500000001</v>
      </c>
      <c r="T2459" s="14">
        <f t="shared" si="231"/>
        <v>42453.560833333337</v>
      </c>
      <c r="U2459" s="64">
        <f t="shared" si="232"/>
        <v>29.958333333335759</v>
      </c>
      <c r="V2459" s="13" t="str">
        <f t="shared" si="233"/>
        <v>funded</v>
      </c>
    </row>
    <row r="2460" spans="1:22" ht="48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8333</v>
      </c>
      <c r="R2460" t="s">
        <v>8349</v>
      </c>
      <c r="S2460" s="14">
        <f t="shared" si="230"/>
        <v>42495.871736111112</v>
      </c>
      <c r="T2460" s="14">
        <f t="shared" si="231"/>
        <v>42530.791666666672</v>
      </c>
      <c r="U2460" s="64">
        <f t="shared" si="232"/>
        <v>34.919930555559404</v>
      </c>
      <c r="V2460" s="13" t="str">
        <f t="shared" si="233"/>
        <v>funded</v>
      </c>
    </row>
    <row r="2461" spans="1:22" ht="48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8333</v>
      </c>
      <c r="R2461" t="s">
        <v>8349</v>
      </c>
      <c r="S2461" s="14">
        <f t="shared" si="230"/>
        <v>42407.637557870374</v>
      </c>
      <c r="T2461" s="14">
        <f t="shared" si="231"/>
        <v>42452.595891203702</v>
      </c>
      <c r="U2461" s="64">
        <f t="shared" si="232"/>
        <v>44.958333333328483</v>
      </c>
      <c r="V2461" s="13" t="str">
        <f t="shared" si="233"/>
        <v>funded</v>
      </c>
    </row>
    <row r="2462" spans="1:22" ht="48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8333</v>
      </c>
      <c r="R2462" t="s">
        <v>8349</v>
      </c>
      <c r="S2462" s="14">
        <f t="shared" si="230"/>
        <v>42704.187118055561</v>
      </c>
      <c r="T2462" s="14">
        <f t="shared" si="231"/>
        <v>42738.178472222222</v>
      </c>
      <c r="U2462" s="64">
        <f t="shared" si="232"/>
        <v>33.99135416666104</v>
      </c>
      <c r="V2462" s="13" t="str">
        <f t="shared" si="233"/>
        <v>funded</v>
      </c>
    </row>
    <row r="2463" spans="1:22" ht="48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8322</v>
      </c>
      <c r="R2463" t="s">
        <v>8326</v>
      </c>
      <c r="S2463" s="14">
        <f t="shared" si="230"/>
        <v>40784.012696759259</v>
      </c>
      <c r="T2463" s="14">
        <f t="shared" si="231"/>
        <v>40817.125</v>
      </c>
      <c r="U2463" s="64">
        <f t="shared" si="232"/>
        <v>33.112303240741312</v>
      </c>
      <c r="V2463" s="13" t="str">
        <f t="shared" si="233"/>
        <v>funded</v>
      </c>
    </row>
    <row r="2464" spans="1:22" ht="48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8322</v>
      </c>
      <c r="R2464" t="s">
        <v>8326</v>
      </c>
      <c r="S2464" s="14">
        <f t="shared" si="230"/>
        <v>41089.186296296299</v>
      </c>
      <c r="T2464" s="14">
        <f t="shared" si="231"/>
        <v>41109.186296296299</v>
      </c>
      <c r="U2464" s="64">
        <f t="shared" si="232"/>
        <v>20</v>
      </c>
      <c r="V2464" s="13" t="str">
        <f t="shared" si="233"/>
        <v>funded</v>
      </c>
    </row>
    <row r="2465" spans="1:22" ht="16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8322</v>
      </c>
      <c r="R2465" t="s">
        <v>8326</v>
      </c>
      <c r="S2465" s="14">
        <f t="shared" si="230"/>
        <v>41341.111400462964</v>
      </c>
      <c r="T2465" s="14">
        <f t="shared" si="231"/>
        <v>41380.791666666664</v>
      </c>
      <c r="U2465" s="64">
        <f t="shared" si="232"/>
        <v>39.680266203700739</v>
      </c>
      <c r="V2465" s="13" t="str">
        <f t="shared" si="233"/>
        <v>funded</v>
      </c>
    </row>
    <row r="2466" spans="1:22" ht="48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8322</v>
      </c>
      <c r="R2466" t="s">
        <v>8326</v>
      </c>
      <c r="S2466" s="14">
        <f t="shared" si="230"/>
        <v>42248.90042824074</v>
      </c>
      <c r="T2466" s="14">
        <f t="shared" si="231"/>
        <v>42277.811805555553</v>
      </c>
      <c r="U2466" s="64">
        <f t="shared" si="232"/>
        <v>28.911377314812853</v>
      </c>
      <c r="V2466" s="13" t="str">
        <f t="shared" si="233"/>
        <v>funded</v>
      </c>
    </row>
    <row r="2467" spans="1:22" ht="3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8322</v>
      </c>
      <c r="R2467" t="s">
        <v>8326</v>
      </c>
      <c r="S2467" s="14">
        <f t="shared" si="230"/>
        <v>41145.719305555554</v>
      </c>
      <c r="T2467" s="14">
        <f t="shared" si="231"/>
        <v>41175.719305555554</v>
      </c>
      <c r="U2467" s="64">
        <f t="shared" si="232"/>
        <v>30</v>
      </c>
      <c r="V2467" s="13" t="str">
        <f t="shared" si="233"/>
        <v>funded</v>
      </c>
    </row>
    <row r="2468" spans="1:22" ht="48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8322</v>
      </c>
      <c r="R2468" t="s">
        <v>8326</v>
      </c>
      <c r="S2468" s="14">
        <f t="shared" si="230"/>
        <v>41373.102465277778</v>
      </c>
      <c r="T2468" s="14">
        <f t="shared" si="231"/>
        <v>41403.102465277778</v>
      </c>
      <c r="U2468" s="64">
        <f t="shared" si="232"/>
        <v>30</v>
      </c>
      <c r="V2468" s="13" t="str">
        <f t="shared" si="233"/>
        <v>funded</v>
      </c>
    </row>
    <row r="2469" spans="1:22" ht="48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8322</v>
      </c>
      <c r="R2469" t="s">
        <v>8326</v>
      </c>
      <c r="S2469" s="14">
        <f t="shared" si="230"/>
        <v>41025.874201388891</v>
      </c>
      <c r="T2469" s="14">
        <f t="shared" si="231"/>
        <v>41039.708333333336</v>
      </c>
      <c r="U2469" s="64">
        <f t="shared" si="232"/>
        <v>13.83413194444438</v>
      </c>
      <c r="V2469" s="13" t="str">
        <f t="shared" si="233"/>
        <v>funded</v>
      </c>
    </row>
    <row r="2470" spans="1:22" ht="3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8322</v>
      </c>
      <c r="R2470" t="s">
        <v>8326</v>
      </c>
      <c r="S2470" s="14">
        <f t="shared" si="230"/>
        <v>41174.154178240737</v>
      </c>
      <c r="T2470" s="14">
        <f t="shared" si="231"/>
        <v>41210.208333333336</v>
      </c>
      <c r="U2470" s="64">
        <f t="shared" si="232"/>
        <v>36.054155092599103</v>
      </c>
      <c r="V2470" s="13" t="str">
        <f t="shared" si="233"/>
        <v>funded</v>
      </c>
    </row>
    <row r="2471" spans="1:22" ht="48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8322</v>
      </c>
      <c r="R2471" t="s">
        <v>8326</v>
      </c>
      <c r="S2471" s="14">
        <f t="shared" si="230"/>
        <v>40557.429733796293</v>
      </c>
      <c r="T2471" s="14">
        <f t="shared" si="231"/>
        <v>40582.429733796293</v>
      </c>
      <c r="U2471" s="64">
        <f t="shared" si="232"/>
        <v>25</v>
      </c>
      <c r="V2471" s="13" t="str">
        <f t="shared" si="233"/>
        <v>funded</v>
      </c>
    </row>
    <row r="2472" spans="1:22" ht="48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8322</v>
      </c>
      <c r="R2472" t="s">
        <v>8326</v>
      </c>
      <c r="S2472" s="14">
        <f t="shared" si="230"/>
        <v>41023.07471064815</v>
      </c>
      <c r="T2472" s="14">
        <f t="shared" si="231"/>
        <v>41053.07471064815</v>
      </c>
      <c r="U2472" s="64">
        <f t="shared" si="232"/>
        <v>30</v>
      </c>
      <c r="V2472" s="13" t="str">
        <f t="shared" si="233"/>
        <v>funded</v>
      </c>
    </row>
    <row r="2473" spans="1:22" ht="48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8322</v>
      </c>
      <c r="R2473" t="s">
        <v>8326</v>
      </c>
      <c r="S2473" s="14">
        <f t="shared" si="230"/>
        <v>40893.992962962962</v>
      </c>
      <c r="T2473" s="14">
        <f t="shared" si="231"/>
        <v>40933.992962962962</v>
      </c>
      <c r="U2473" s="64">
        <f t="shared" si="232"/>
        <v>40</v>
      </c>
      <c r="V2473" s="13" t="str">
        <f t="shared" si="233"/>
        <v>funded</v>
      </c>
    </row>
    <row r="2474" spans="1:22" ht="48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8322</v>
      </c>
      <c r="R2474" t="s">
        <v>8326</v>
      </c>
      <c r="S2474" s="14">
        <f t="shared" si="230"/>
        <v>40354.11550925926</v>
      </c>
      <c r="T2474" s="14">
        <f t="shared" si="231"/>
        <v>40425.043749999997</v>
      </c>
      <c r="U2474" s="64">
        <f t="shared" si="232"/>
        <v>70.928240740737238</v>
      </c>
      <c r="V2474" s="13" t="str">
        <f t="shared" si="233"/>
        <v>funded</v>
      </c>
    </row>
    <row r="2475" spans="1:22" ht="48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8322</v>
      </c>
      <c r="R2475" t="s">
        <v>8326</v>
      </c>
      <c r="S2475" s="14">
        <f t="shared" si="230"/>
        <v>41193.748483796298</v>
      </c>
      <c r="T2475" s="14">
        <f t="shared" si="231"/>
        <v>41223.790150462963</v>
      </c>
      <c r="U2475" s="64">
        <f t="shared" si="232"/>
        <v>30.041666666664241</v>
      </c>
      <c r="V2475" s="13" t="str">
        <f t="shared" si="233"/>
        <v>funded</v>
      </c>
    </row>
    <row r="2476" spans="1:22" ht="48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8322</v>
      </c>
      <c r="R2476" t="s">
        <v>8326</v>
      </c>
      <c r="S2476" s="14">
        <f t="shared" si="230"/>
        <v>40417.011296296296</v>
      </c>
      <c r="T2476" s="14">
        <f t="shared" si="231"/>
        <v>40462.011296296296</v>
      </c>
      <c r="U2476" s="64">
        <f t="shared" si="232"/>
        <v>45</v>
      </c>
      <c r="V2476" s="13" t="str">
        <f t="shared" si="233"/>
        <v>funded</v>
      </c>
    </row>
    <row r="2477" spans="1:22" ht="3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8322</v>
      </c>
      <c r="R2477" t="s">
        <v>8326</v>
      </c>
      <c r="S2477" s="14">
        <f t="shared" si="230"/>
        <v>40310.287673611114</v>
      </c>
      <c r="T2477" s="14">
        <f t="shared" si="231"/>
        <v>40369.916666666664</v>
      </c>
      <c r="U2477" s="64">
        <f t="shared" si="232"/>
        <v>59.628993055550382</v>
      </c>
      <c r="V2477" s="13" t="str">
        <f t="shared" si="233"/>
        <v>funded</v>
      </c>
    </row>
    <row r="2478" spans="1:22" ht="48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8322</v>
      </c>
      <c r="R2478" t="s">
        <v>8326</v>
      </c>
      <c r="S2478" s="14">
        <f t="shared" si="230"/>
        <v>41913.328356481477</v>
      </c>
      <c r="T2478" s="14">
        <f t="shared" si="231"/>
        <v>41946.370023148149</v>
      </c>
      <c r="U2478" s="64">
        <f t="shared" si="232"/>
        <v>33.041666666671517</v>
      </c>
      <c r="V2478" s="13" t="str">
        <f t="shared" si="233"/>
        <v>funded</v>
      </c>
    </row>
    <row r="2479" spans="1:22" ht="3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8322</v>
      </c>
      <c r="R2479" t="s">
        <v>8326</v>
      </c>
      <c r="S2479" s="14">
        <f t="shared" si="230"/>
        <v>41088.691493055558</v>
      </c>
      <c r="T2479" s="14">
        <f t="shared" si="231"/>
        <v>41133.691493055558</v>
      </c>
      <c r="U2479" s="64">
        <f t="shared" si="232"/>
        <v>45</v>
      </c>
      <c r="V2479" s="13" t="str">
        <f t="shared" si="233"/>
        <v>funded</v>
      </c>
    </row>
    <row r="2480" spans="1:22" ht="48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8322</v>
      </c>
      <c r="R2480" t="s">
        <v>8326</v>
      </c>
      <c r="S2480" s="14">
        <f t="shared" si="230"/>
        <v>41257.950381944444</v>
      </c>
      <c r="T2480" s="14">
        <f t="shared" si="231"/>
        <v>41287.950381944444</v>
      </c>
      <c r="U2480" s="64">
        <f t="shared" si="232"/>
        <v>30</v>
      </c>
      <c r="V2480" s="13" t="str">
        <f t="shared" si="233"/>
        <v>funded</v>
      </c>
    </row>
    <row r="2481" spans="1:22" ht="3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8322</v>
      </c>
      <c r="R2481" t="s">
        <v>8326</v>
      </c>
      <c r="S2481" s="14">
        <f t="shared" si="230"/>
        <v>41107.726782407408</v>
      </c>
      <c r="T2481" s="14">
        <f t="shared" si="231"/>
        <v>41118.083333333336</v>
      </c>
      <c r="U2481" s="64">
        <f t="shared" si="232"/>
        <v>10.356550925927877</v>
      </c>
      <c r="V2481" s="13" t="str">
        <f t="shared" si="233"/>
        <v>funded</v>
      </c>
    </row>
    <row r="2482" spans="1:22" ht="48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8322</v>
      </c>
      <c r="R2482" t="s">
        <v>8326</v>
      </c>
      <c r="S2482" s="14">
        <f t="shared" si="230"/>
        <v>42227.936157407406</v>
      </c>
      <c r="T2482" s="14">
        <f t="shared" si="231"/>
        <v>42287.936157407406</v>
      </c>
      <c r="U2482" s="64">
        <f t="shared" si="232"/>
        <v>60</v>
      </c>
      <c r="V2482" s="13" t="str">
        <f t="shared" si="233"/>
        <v>funded</v>
      </c>
    </row>
    <row r="2483" spans="1:22" ht="48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8322</v>
      </c>
      <c r="R2483" t="s">
        <v>8326</v>
      </c>
      <c r="S2483" s="14">
        <f t="shared" si="230"/>
        <v>40999.645925925928</v>
      </c>
      <c r="T2483" s="14">
        <f t="shared" si="231"/>
        <v>41029.645925925928</v>
      </c>
      <c r="U2483" s="64">
        <f t="shared" si="232"/>
        <v>30</v>
      </c>
      <c r="V2483" s="13" t="str">
        <f t="shared" si="233"/>
        <v>funded</v>
      </c>
    </row>
    <row r="2484" spans="1:22" ht="48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8322</v>
      </c>
      <c r="R2484" t="s">
        <v>8326</v>
      </c>
      <c r="S2484" s="14">
        <f t="shared" si="230"/>
        <v>40711.782210648147</v>
      </c>
      <c r="T2484" s="14">
        <f t="shared" si="231"/>
        <v>40756.782210648147</v>
      </c>
      <c r="U2484" s="64">
        <f t="shared" si="232"/>
        <v>45</v>
      </c>
      <c r="V2484" s="13" t="str">
        <f t="shared" si="233"/>
        <v>funded</v>
      </c>
    </row>
    <row r="2485" spans="1:22" ht="3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8322</v>
      </c>
      <c r="R2485" t="s">
        <v>8326</v>
      </c>
      <c r="S2485" s="14">
        <f t="shared" si="230"/>
        <v>40970.750034722223</v>
      </c>
      <c r="T2485" s="14">
        <f t="shared" si="231"/>
        <v>41030.708368055559</v>
      </c>
      <c r="U2485" s="64">
        <f t="shared" si="232"/>
        <v>59.958333333335759</v>
      </c>
      <c r="V2485" s="13" t="str">
        <f t="shared" si="233"/>
        <v>funded</v>
      </c>
    </row>
    <row r="2486" spans="1:22" ht="48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8322</v>
      </c>
      <c r="R2486" t="s">
        <v>8326</v>
      </c>
      <c r="S2486" s="14">
        <f t="shared" si="230"/>
        <v>40771.916701388887</v>
      </c>
      <c r="T2486" s="14">
        <f t="shared" si="231"/>
        <v>40801.916701388887</v>
      </c>
      <c r="U2486" s="64">
        <f t="shared" si="232"/>
        <v>30</v>
      </c>
      <c r="V2486" s="13" t="str">
        <f t="shared" si="233"/>
        <v>funded</v>
      </c>
    </row>
    <row r="2487" spans="1:22" ht="48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8322</v>
      </c>
      <c r="R2487" t="s">
        <v>8326</v>
      </c>
      <c r="S2487" s="14">
        <f t="shared" si="230"/>
        <v>40793.998599537037</v>
      </c>
      <c r="T2487" s="14">
        <f t="shared" si="231"/>
        <v>40828.998599537037</v>
      </c>
      <c r="U2487" s="64">
        <f t="shared" si="232"/>
        <v>35</v>
      </c>
      <c r="V2487" s="13" t="str">
        <f t="shared" si="233"/>
        <v>funded</v>
      </c>
    </row>
    <row r="2488" spans="1:22" ht="48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8322</v>
      </c>
      <c r="R2488" t="s">
        <v>8326</v>
      </c>
      <c r="S2488" s="14">
        <f t="shared" si="230"/>
        <v>40991.708055555559</v>
      </c>
      <c r="T2488" s="14">
        <f t="shared" si="231"/>
        <v>41021.708055555559</v>
      </c>
      <c r="U2488" s="64">
        <f t="shared" si="232"/>
        <v>30</v>
      </c>
      <c r="V2488" s="13" t="str">
        <f t="shared" si="233"/>
        <v>funded</v>
      </c>
    </row>
    <row r="2489" spans="1:22" ht="48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8322</v>
      </c>
      <c r="R2489" t="s">
        <v>8326</v>
      </c>
      <c r="S2489" s="14">
        <f t="shared" si="230"/>
        <v>41026.083298611113</v>
      </c>
      <c r="T2489" s="14">
        <f t="shared" si="231"/>
        <v>41056.083298611113</v>
      </c>
      <c r="U2489" s="64">
        <f t="shared" si="232"/>
        <v>30</v>
      </c>
      <c r="V2489" s="13" t="str">
        <f t="shared" si="233"/>
        <v>funded</v>
      </c>
    </row>
    <row r="2490" spans="1:22" ht="48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8322</v>
      </c>
      <c r="R2490" t="s">
        <v>8326</v>
      </c>
      <c r="S2490" s="14">
        <f t="shared" si="230"/>
        <v>40833.633194444446</v>
      </c>
      <c r="T2490" s="14">
        <f t="shared" si="231"/>
        <v>40863.674861111111</v>
      </c>
      <c r="U2490" s="64">
        <f t="shared" si="232"/>
        <v>30.041666666664241</v>
      </c>
      <c r="V2490" s="13" t="str">
        <f t="shared" si="233"/>
        <v>funded</v>
      </c>
    </row>
    <row r="2491" spans="1:22" ht="48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8322</v>
      </c>
      <c r="R2491" t="s">
        <v>8326</v>
      </c>
      <c r="S2491" s="14">
        <f t="shared" si="230"/>
        <v>41373.690266203703</v>
      </c>
      <c r="T2491" s="14">
        <f t="shared" si="231"/>
        <v>41403.690266203703</v>
      </c>
      <c r="U2491" s="64">
        <f t="shared" si="232"/>
        <v>30</v>
      </c>
      <c r="V2491" s="13" t="str">
        <f t="shared" si="233"/>
        <v>funded</v>
      </c>
    </row>
    <row r="2492" spans="1:22" ht="48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8322</v>
      </c>
      <c r="R2492" t="s">
        <v>8326</v>
      </c>
      <c r="S2492" s="14">
        <f t="shared" si="230"/>
        <v>41023.227731481478</v>
      </c>
      <c r="T2492" s="14">
        <f t="shared" si="231"/>
        <v>41083.227731481478</v>
      </c>
      <c r="U2492" s="64">
        <f t="shared" si="232"/>
        <v>60</v>
      </c>
      <c r="V2492" s="13" t="str">
        <f t="shared" si="233"/>
        <v>funded</v>
      </c>
    </row>
    <row r="2493" spans="1:22" ht="48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8322</v>
      </c>
      <c r="R2493" t="s">
        <v>8326</v>
      </c>
      <c r="S2493" s="14">
        <f t="shared" si="230"/>
        <v>40542.839282407411</v>
      </c>
      <c r="T2493" s="14">
        <f t="shared" si="231"/>
        <v>40559.07708333333</v>
      </c>
      <c r="U2493" s="64">
        <f t="shared" si="232"/>
        <v>16.237800925919146</v>
      </c>
      <c r="V2493" s="13" t="str">
        <f t="shared" si="233"/>
        <v>funded</v>
      </c>
    </row>
    <row r="2494" spans="1:22" ht="3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8322</v>
      </c>
      <c r="R2494" t="s">
        <v>8326</v>
      </c>
      <c r="S2494" s="14">
        <f t="shared" si="230"/>
        <v>41024.985972222225</v>
      </c>
      <c r="T2494" s="14">
        <f t="shared" si="231"/>
        <v>41076.415972222225</v>
      </c>
      <c r="U2494" s="64">
        <f t="shared" si="232"/>
        <v>51.430000000000291</v>
      </c>
      <c r="V2494" s="13" t="str">
        <f t="shared" si="233"/>
        <v>funded</v>
      </c>
    </row>
    <row r="2495" spans="1:22" ht="48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8322</v>
      </c>
      <c r="R2495" t="s">
        <v>8326</v>
      </c>
      <c r="S2495" s="14">
        <f t="shared" si="230"/>
        <v>41348.168287037035</v>
      </c>
      <c r="T2495" s="14">
        <f t="shared" si="231"/>
        <v>41393.168287037035</v>
      </c>
      <c r="U2495" s="64">
        <f t="shared" si="232"/>
        <v>45</v>
      </c>
      <c r="V2495" s="13" t="str">
        <f t="shared" si="233"/>
        <v>funded</v>
      </c>
    </row>
    <row r="2496" spans="1:22" ht="48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8322</v>
      </c>
      <c r="R2496" t="s">
        <v>8326</v>
      </c>
      <c r="S2496" s="14">
        <f t="shared" si="230"/>
        <v>41022.645185185182</v>
      </c>
      <c r="T2496" s="14">
        <f t="shared" si="231"/>
        <v>41052.645185185182</v>
      </c>
      <c r="U2496" s="64">
        <f t="shared" si="232"/>
        <v>30</v>
      </c>
      <c r="V2496" s="13" t="str">
        <f t="shared" si="233"/>
        <v>funded</v>
      </c>
    </row>
    <row r="2497" spans="1:22" ht="48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8322</v>
      </c>
      <c r="R2497" t="s">
        <v>8326</v>
      </c>
      <c r="S2497" s="14">
        <f t="shared" si="230"/>
        <v>41036.946469907409</v>
      </c>
      <c r="T2497" s="14">
        <f t="shared" si="231"/>
        <v>41066.946469907409</v>
      </c>
      <c r="U2497" s="64">
        <f t="shared" si="232"/>
        <v>30</v>
      </c>
      <c r="V2497" s="13" t="str">
        <f t="shared" si="233"/>
        <v>funded</v>
      </c>
    </row>
    <row r="2498" spans="1:22" ht="3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s="10" t="s">
        <v>8322</v>
      </c>
      <c r="R2498" t="s">
        <v>8326</v>
      </c>
      <c r="S2498" s="14">
        <f t="shared" si="230"/>
        <v>41327.996435185189</v>
      </c>
      <c r="T2498" s="14">
        <f t="shared" si="231"/>
        <v>41362.954768518517</v>
      </c>
      <c r="U2498" s="64">
        <f t="shared" si="232"/>
        <v>34.958333333328483</v>
      </c>
      <c r="V2498" s="13" t="str">
        <f t="shared" si="233"/>
        <v>funded</v>
      </c>
    </row>
    <row r="2499" spans="1:22" ht="48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ROUND(E2499/D2499*100,0)</f>
        <v>113</v>
      </c>
      <c r="P2499">
        <f t="shared" ref="P2499:P2562" si="235">IFERROR(ROUND(E2499/L2499,2), 0)</f>
        <v>80.55</v>
      </c>
      <c r="Q2499" s="10" t="s">
        <v>8322</v>
      </c>
      <c r="R2499" t="s">
        <v>8326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 s="64">
        <f t="shared" ref="U2499:V2562" si="238">T2499-S2499</f>
        <v>30</v>
      </c>
      <c r="V2499" s="13" t="str">
        <f t="shared" ref="V2499:V2562" si="239">IF(E2499&gt;=D2499, "funded", "underfunded")</f>
        <v>funded</v>
      </c>
    </row>
    <row r="2500" spans="1:22" ht="48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8322</v>
      </c>
      <c r="R2500" t="s">
        <v>8326</v>
      </c>
      <c r="S2500" s="14">
        <f t="shared" si="236"/>
        <v>42017.967442129629</v>
      </c>
      <c r="T2500" s="14">
        <f t="shared" si="237"/>
        <v>42031.967442129629</v>
      </c>
      <c r="U2500" s="64">
        <f t="shared" si="238"/>
        <v>14</v>
      </c>
      <c r="V2500" s="13" t="str">
        <f t="shared" si="239"/>
        <v>funded</v>
      </c>
    </row>
    <row r="2501" spans="1:22" ht="48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8322</v>
      </c>
      <c r="R2501" t="s">
        <v>8326</v>
      </c>
      <c r="S2501" s="14">
        <f t="shared" si="236"/>
        <v>41226.648576388885</v>
      </c>
      <c r="T2501" s="14">
        <f t="shared" si="237"/>
        <v>41274.75</v>
      </c>
      <c r="U2501" s="64">
        <f t="shared" si="238"/>
        <v>48.101423611115024</v>
      </c>
      <c r="V2501" s="13" t="str">
        <f t="shared" si="239"/>
        <v>funded</v>
      </c>
    </row>
    <row r="2502" spans="1:22" ht="48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8322</v>
      </c>
      <c r="R2502" t="s">
        <v>8326</v>
      </c>
      <c r="S2502" s="14">
        <f t="shared" si="236"/>
        <v>41053.772858796299</v>
      </c>
      <c r="T2502" s="14">
        <f t="shared" si="237"/>
        <v>41083.772858796299</v>
      </c>
      <c r="U2502" s="64">
        <f t="shared" si="238"/>
        <v>30</v>
      </c>
      <c r="V2502" s="13" t="str">
        <f t="shared" si="239"/>
        <v>funded</v>
      </c>
    </row>
    <row r="2503" spans="1:22" ht="48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8333</v>
      </c>
      <c r="R2503" t="s">
        <v>8350</v>
      </c>
      <c r="S2503" s="14">
        <f t="shared" si="236"/>
        <v>42244.776666666665</v>
      </c>
      <c r="T2503" s="14">
        <f t="shared" si="237"/>
        <v>42274.776666666665</v>
      </c>
      <c r="U2503" s="64">
        <f t="shared" si="238"/>
        <v>30</v>
      </c>
      <c r="V2503" s="13" t="str">
        <f t="shared" si="239"/>
        <v>underfunded</v>
      </c>
    </row>
    <row r="2504" spans="1:22" ht="48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0" t="s">
        <v>8333</v>
      </c>
      <c r="R2504" t="s">
        <v>8350</v>
      </c>
      <c r="S2504" s="14">
        <f t="shared" si="236"/>
        <v>41858.825439814813</v>
      </c>
      <c r="T2504" s="14">
        <f t="shared" si="237"/>
        <v>41903.825439814813</v>
      </c>
      <c r="U2504" s="64">
        <f t="shared" si="238"/>
        <v>45</v>
      </c>
      <c r="V2504" s="13" t="str">
        <f t="shared" si="239"/>
        <v>underfunded</v>
      </c>
    </row>
    <row r="2505" spans="1:22" ht="48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0" t="s">
        <v>8333</v>
      </c>
      <c r="R2505" t="s">
        <v>8350</v>
      </c>
      <c r="S2505" s="14">
        <f t="shared" si="236"/>
        <v>42498.899398148147</v>
      </c>
      <c r="T2505" s="14">
        <f t="shared" si="237"/>
        <v>42528.879166666666</v>
      </c>
      <c r="U2505" s="64">
        <f t="shared" si="238"/>
        <v>29.97976851851854</v>
      </c>
      <c r="V2505" s="13" t="str">
        <f t="shared" si="239"/>
        <v>underfunded</v>
      </c>
    </row>
    <row r="2506" spans="1:22" ht="3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0" t="s">
        <v>8333</v>
      </c>
      <c r="R2506" t="s">
        <v>8350</v>
      </c>
      <c r="S2506" s="14">
        <f t="shared" si="236"/>
        <v>41928.015439814815</v>
      </c>
      <c r="T2506" s="14">
        <f t="shared" si="237"/>
        <v>41958.057106481487</v>
      </c>
      <c r="U2506" s="64">
        <f t="shared" si="238"/>
        <v>30.041666666671517</v>
      </c>
      <c r="V2506" s="13" t="str">
        <f t="shared" si="239"/>
        <v>underfunded</v>
      </c>
    </row>
    <row r="2507" spans="1:22" ht="6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0" t="s">
        <v>8333</v>
      </c>
      <c r="R2507" t="s">
        <v>8350</v>
      </c>
      <c r="S2507" s="14">
        <f t="shared" si="236"/>
        <v>42047.05574074074</v>
      </c>
      <c r="T2507" s="14">
        <f t="shared" si="237"/>
        <v>42077.014074074075</v>
      </c>
      <c r="U2507" s="64">
        <f t="shared" si="238"/>
        <v>29.958333333335759</v>
      </c>
      <c r="V2507" s="13" t="str">
        <f t="shared" si="239"/>
        <v>underfunded</v>
      </c>
    </row>
    <row r="2508" spans="1:22" ht="48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8333</v>
      </c>
      <c r="R2508" t="s">
        <v>8350</v>
      </c>
      <c r="S2508" s="14">
        <f t="shared" si="236"/>
        <v>42258.297094907408</v>
      </c>
      <c r="T2508" s="14">
        <f t="shared" si="237"/>
        <v>42280.875</v>
      </c>
      <c r="U2508" s="64">
        <f t="shared" si="238"/>
        <v>22.577905092592118</v>
      </c>
      <c r="V2508" s="13" t="str">
        <f t="shared" si="239"/>
        <v>underfunded</v>
      </c>
    </row>
    <row r="2509" spans="1:22" ht="16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0" t="s">
        <v>8333</v>
      </c>
      <c r="R2509" t="s">
        <v>8350</v>
      </c>
      <c r="S2509" s="14">
        <f t="shared" si="236"/>
        <v>42105.072962962964</v>
      </c>
      <c r="T2509" s="14">
        <f t="shared" si="237"/>
        <v>42135.072962962964</v>
      </c>
      <c r="U2509" s="64">
        <f t="shared" si="238"/>
        <v>30</v>
      </c>
      <c r="V2509" s="13" t="str">
        <f t="shared" si="239"/>
        <v>underfunded</v>
      </c>
    </row>
    <row r="2510" spans="1:22" ht="48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0" t="s">
        <v>8333</v>
      </c>
      <c r="R2510" t="s">
        <v>8350</v>
      </c>
      <c r="S2510" s="14">
        <f t="shared" si="236"/>
        <v>41835.951782407406</v>
      </c>
      <c r="T2510" s="14">
        <f t="shared" si="237"/>
        <v>41865.951782407406</v>
      </c>
      <c r="U2510" s="64">
        <f t="shared" si="238"/>
        <v>30</v>
      </c>
      <c r="V2510" s="13" t="str">
        <f t="shared" si="239"/>
        <v>underfunded</v>
      </c>
    </row>
    <row r="2511" spans="1:22" ht="48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8333</v>
      </c>
      <c r="R2511" t="s">
        <v>8350</v>
      </c>
      <c r="S2511" s="14">
        <f t="shared" si="236"/>
        <v>42058.809594907405</v>
      </c>
      <c r="T2511" s="14">
        <f t="shared" si="237"/>
        <v>42114.767928240741</v>
      </c>
      <c r="U2511" s="64">
        <f t="shared" si="238"/>
        <v>55.958333333335759</v>
      </c>
      <c r="V2511" s="13" t="str">
        <f t="shared" si="239"/>
        <v>underfunded</v>
      </c>
    </row>
    <row r="2512" spans="1:22" ht="48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0" t="s">
        <v>8333</v>
      </c>
      <c r="R2512" t="s">
        <v>8350</v>
      </c>
      <c r="S2512" s="14">
        <f t="shared" si="236"/>
        <v>42078.997361111105</v>
      </c>
      <c r="T2512" s="14">
        <f t="shared" si="237"/>
        <v>42138.997361111105</v>
      </c>
      <c r="U2512" s="64">
        <f t="shared" si="238"/>
        <v>60</v>
      </c>
      <c r="V2512" s="13" t="str">
        <f t="shared" si="239"/>
        <v>underfunded</v>
      </c>
    </row>
    <row r="2513" spans="1:22" ht="48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0" t="s">
        <v>8333</v>
      </c>
      <c r="R2513" t="s">
        <v>8350</v>
      </c>
      <c r="S2513" s="14">
        <f t="shared" si="236"/>
        <v>42371.446909722217</v>
      </c>
      <c r="T2513" s="14">
        <f t="shared" si="237"/>
        <v>42401.446909722217</v>
      </c>
      <c r="U2513" s="64">
        <f t="shared" si="238"/>
        <v>30</v>
      </c>
      <c r="V2513" s="13" t="str">
        <f t="shared" si="239"/>
        <v>underfunded</v>
      </c>
    </row>
    <row r="2514" spans="1:22" ht="48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0" t="s">
        <v>8333</v>
      </c>
      <c r="R2514" t="s">
        <v>8350</v>
      </c>
      <c r="S2514" s="14">
        <f t="shared" si="236"/>
        <v>41971.876863425925</v>
      </c>
      <c r="T2514" s="14">
        <f t="shared" si="237"/>
        <v>41986.876863425925</v>
      </c>
      <c r="U2514" s="64">
        <f t="shared" si="238"/>
        <v>15</v>
      </c>
      <c r="V2514" s="13" t="str">
        <f t="shared" si="239"/>
        <v>underfunded</v>
      </c>
    </row>
    <row r="2515" spans="1:22" ht="48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0" t="s">
        <v>8333</v>
      </c>
      <c r="R2515" t="s">
        <v>8350</v>
      </c>
      <c r="S2515" s="14">
        <f t="shared" si="236"/>
        <v>42732.00681712963</v>
      </c>
      <c r="T2515" s="14">
        <f t="shared" si="237"/>
        <v>42792.00681712963</v>
      </c>
      <c r="U2515" s="64">
        <f t="shared" si="238"/>
        <v>60</v>
      </c>
      <c r="V2515" s="13" t="str">
        <f t="shared" si="239"/>
        <v>underfunded</v>
      </c>
    </row>
    <row r="2516" spans="1:22" ht="48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8333</v>
      </c>
      <c r="R2516" t="s">
        <v>8350</v>
      </c>
      <c r="S2516" s="14">
        <f t="shared" si="236"/>
        <v>41854.389780092592</v>
      </c>
      <c r="T2516" s="14">
        <f t="shared" si="237"/>
        <v>41871.389780092592</v>
      </c>
      <c r="U2516" s="64">
        <f t="shared" si="238"/>
        <v>17</v>
      </c>
      <c r="V2516" s="13" t="str">
        <f t="shared" si="239"/>
        <v>underfunded</v>
      </c>
    </row>
    <row r="2517" spans="1:22" ht="48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8333</v>
      </c>
      <c r="R2517" t="s">
        <v>8350</v>
      </c>
      <c r="S2517" s="14">
        <f t="shared" si="236"/>
        <v>42027.839733796296</v>
      </c>
      <c r="T2517" s="14">
        <f t="shared" si="237"/>
        <v>42057.839733796296</v>
      </c>
      <c r="U2517" s="64">
        <f t="shared" si="238"/>
        <v>30</v>
      </c>
      <c r="V2517" s="13" t="str">
        <f t="shared" si="239"/>
        <v>underfunded</v>
      </c>
    </row>
    <row r="2518" spans="1:22" ht="48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0" t="s">
        <v>8333</v>
      </c>
      <c r="R2518" t="s">
        <v>8350</v>
      </c>
      <c r="S2518" s="14">
        <f t="shared" si="236"/>
        <v>41942.653379629628</v>
      </c>
      <c r="T2518" s="14">
        <f t="shared" si="237"/>
        <v>41972.6950462963</v>
      </c>
      <c r="U2518" s="64">
        <f t="shared" si="238"/>
        <v>30.041666666671517</v>
      </c>
      <c r="V2518" s="13" t="str">
        <f t="shared" si="239"/>
        <v>underfunded</v>
      </c>
    </row>
    <row r="2519" spans="1:22" ht="48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8333</v>
      </c>
      <c r="R2519" t="s">
        <v>8350</v>
      </c>
      <c r="S2519" s="14">
        <f t="shared" si="236"/>
        <v>42052.802430555559</v>
      </c>
      <c r="T2519" s="14">
        <f t="shared" si="237"/>
        <v>42082.760763888888</v>
      </c>
      <c r="U2519" s="64">
        <f t="shared" si="238"/>
        <v>29.958333333328483</v>
      </c>
      <c r="V2519" s="13" t="str">
        <f t="shared" si="239"/>
        <v>underfunded</v>
      </c>
    </row>
    <row r="2520" spans="1:22" ht="48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0" t="s">
        <v>8333</v>
      </c>
      <c r="R2520" t="s">
        <v>8350</v>
      </c>
      <c r="S2520" s="14">
        <f t="shared" si="236"/>
        <v>41926.680879629632</v>
      </c>
      <c r="T2520" s="14">
        <f t="shared" si="237"/>
        <v>41956.722546296296</v>
      </c>
      <c r="U2520" s="64">
        <f t="shared" si="238"/>
        <v>30.041666666664241</v>
      </c>
      <c r="V2520" s="13" t="str">
        <f t="shared" si="239"/>
        <v>underfunded</v>
      </c>
    </row>
    <row r="2521" spans="1:22" ht="3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0" t="s">
        <v>8333</v>
      </c>
      <c r="R2521" t="s">
        <v>8350</v>
      </c>
      <c r="S2521" s="14">
        <f t="shared" si="236"/>
        <v>41809.155138888891</v>
      </c>
      <c r="T2521" s="14">
        <f t="shared" si="237"/>
        <v>41839.155138888891</v>
      </c>
      <c r="U2521" s="64">
        <f t="shared" si="238"/>
        <v>30</v>
      </c>
      <c r="V2521" s="13" t="str">
        <f t="shared" si="239"/>
        <v>underfunded</v>
      </c>
    </row>
    <row r="2522" spans="1:22" ht="48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0" t="s">
        <v>8333</v>
      </c>
      <c r="R2522" t="s">
        <v>8350</v>
      </c>
      <c r="S2522" s="14">
        <f t="shared" si="236"/>
        <v>42612.600520833337</v>
      </c>
      <c r="T2522" s="14">
        <f t="shared" si="237"/>
        <v>42658.806249999994</v>
      </c>
      <c r="U2522" s="64">
        <f t="shared" si="238"/>
        <v>46.205729166656965</v>
      </c>
      <c r="V2522" s="13" t="str">
        <f t="shared" si="239"/>
        <v>underfunded</v>
      </c>
    </row>
    <row r="2523" spans="1:22" ht="48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8322</v>
      </c>
      <c r="R2523" t="s">
        <v>8351</v>
      </c>
      <c r="S2523" s="14">
        <f t="shared" si="236"/>
        <v>42269.967835648145</v>
      </c>
      <c r="T2523" s="14">
        <f t="shared" si="237"/>
        <v>42290.967835648145</v>
      </c>
      <c r="U2523" s="64">
        <f t="shared" si="238"/>
        <v>21</v>
      </c>
      <c r="V2523" s="13" t="str">
        <f t="shared" si="239"/>
        <v>funded</v>
      </c>
    </row>
    <row r="2524" spans="1:22" ht="48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8322</v>
      </c>
      <c r="R2524" t="s">
        <v>8351</v>
      </c>
      <c r="S2524" s="14">
        <f t="shared" si="236"/>
        <v>42460.573611111111</v>
      </c>
      <c r="T2524" s="14">
        <f t="shared" si="237"/>
        <v>42482.619444444441</v>
      </c>
      <c r="U2524" s="64">
        <f t="shared" si="238"/>
        <v>22.045833333329938</v>
      </c>
      <c r="V2524" s="13" t="str">
        <f t="shared" si="239"/>
        <v>funded</v>
      </c>
    </row>
    <row r="2525" spans="1:22" ht="48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8322</v>
      </c>
      <c r="R2525" t="s">
        <v>8351</v>
      </c>
      <c r="S2525" s="14">
        <f t="shared" si="236"/>
        <v>41930.975601851853</v>
      </c>
      <c r="T2525" s="14">
        <f t="shared" si="237"/>
        <v>41961.017268518524</v>
      </c>
      <c r="U2525" s="64">
        <f t="shared" si="238"/>
        <v>30.041666666671517</v>
      </c>
      <c r="V2525" s="13" t="str">
        <f t="shared" si="239"/>
        <v>funded</v>
      </c>
    </row>
    <row r="2526" spans="1:22" ht="3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8322</v>
      </c>
      <c r="R2526" t="s">
        <v>8351</v>
      </c>
      <c r="S2526" s="14">
        <f t="shared" si="236"/>
        <v>41961.807372685187</v>
      </c>
      <c r="T2526" s="14">
        <f t="shared" si="237"/>
        <v>41994.1875</v>
      </c>
      <c r="U2526" s="64">
        <f t="shared" si="238"/>
        <v>32.380127314812853</v>
      </c>
      <c r="V2526" s="13" t="str">
        <f t="shared" si="239"/>
        <v>funded</v>
      </c>
    </row>
    <row r="2527" spans="1:22" ht="48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8322</v>
      </c>
      <c r="R2527" t="s">
        <v>8351</v>
      </c>
      <c r="S2527" s="14">
        <f t="shared" si="236"/>
        <v>41058.844571759262</v>
      </c>
      <c r="T2527" s="14">
        <f t="shared" si="237"/>
        <v>41088.844571759262</v>
      </c>
      <c r="U2527" s="64">
        <f t="shared" si="238"/>
        <v>30</v>
      </c>
      <c r="V2527" s="13" t="str">
        <f t="shared" si="239"/>
        <v>funded</v>
      </c>
    </row>
    <row r="2528" spans="1:22" ht="48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8322</v>
      </c>
      <c r="R2528" t="s">
        <v>8351</v>
      </c>
      <c r="S2528" s="14">
        <f t="shared" si="236"/>
        <v>41953.091134259259</v>
      </c>
      <c r="T2528" s="14">
        <f t="shared" si="237"/>
        <v>41981.207638888889</v>
      </c>
      <c r="U2528" s="64">
        <f t="shared" si="238"/>
        <v>28.116504629630072</v>
      </c>
      <c r="V2528" s="13" t="str">
        <f t="shared" si="239"/>
        <v>funded</v>
      </c>
    </row>
    <row r="2529" spans="1:22" ht="48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8322</v>
      </c>
      <c r="R2529" t="s">
        <v>8351</v>
      </c>
      <c r="S2529" s="14">
        <f t="shared" si="236"/>
        <v>41546.75105324074</v>
      </c>
      <c r="T2529" s="14">
        <f t="shared" si="237"/>
        <v>41565.165972222225</v>
      </c>
      <c r="U2529" s="64">
        <f t="shared" si="238"/>
        <v>18.414918981485243</v>
      </c>
      <c r="V2529" s="13" t="str">
        <f t="shared" si="239"/>
        <v>funded</v>
      </c>
    </row>
    <row r="2530" spans="1:22" ht="48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8322</v>
      </c>
      <c r="R2530" t="s">
        <v>8351</v>
      </c>
      <c r="S2530" s="14">
        <f t="shared" si="236"/>
        <v>42217.834525462968</v>
      </c>
      <c r="T2530" s="14">
        <f t="shared" si="237"/>
        <v>42236.458333333328</v>
      </c>
      <c r="U2530" s="64">
        <f t="shared" si="238"/>
        <v>18.623807870360906</v>
      </c>
      <c r="V2530" s="13" t="str">
        <f t="shared" si="239"/>
        <v>funded</v>
      </c>
    </row>
    <row r="2531" spans="1:22" ht="3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8322</v>
      </c>
      <c r="R2531" t="s">
        <v>8351</v>
      </c>
      <c r="S2531" s="14">
        <f t="shared" si="236"/>
        <v>40948.080729166664</v>
      </c>
      <c r="T2531" s="14">
        <f t="shared" si="237"/>
        <v>40993.0390625</v>
      </c>
      <c r="U2531" s="64">
        <f t="shared" si="238"/>
        <v>44.958333333335759</v>
      </c>
      <c r="V2531" s="13" t="str">
        <f t="shared" si="239"/>
        <v>funded</v>
      </c>
    </row>
    <row r="2532" spans="1:22" ht="48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8322</v>
      </c>
      <c r="R2532" t="s">
        <v>8351</v>
      </c>
      <c r="S2532" s="14">
        <f t="shared" si="236"/>
        <v>42081.864641203705</v>
      </c>
      <c r="T2532" s="14">
        <f t="shared" si="237"/>
        <v>42114.201388888891</v>
      </c>
      <c r="U2532" s="64">
        <f t="shared" si="238"/>
        <v>32.336747685185401</v>
      </c>
      <c r="V2532" s="13" t="str">
        <f t="shared" si="239"/>
        <v>funded</v>
      </c>
    </row>
    <row r="2533" spans="1:22" ht="48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8322</v>
      </c>
      <c r="R2533" t="s">
        <v>8351</v>
      </c>
      <c r="S2533" s="14">
        <f t="shared" si="236"/>
        <v>42208.680023148147</v>
      </c>
      <c r="T2533" s="14">
        <f t="shared" si="237"/>
        <v>42231.165972222225</v>
      </c>
      <c r="U2533" s="64">
        <f t="shared" si="238"/>
        <v>22.485949074078235</v>
      </c>
      <c r="V2533" s="13" t="str">
        <f t="shared" si="239"/>
        <v>funded</v>
      </c>
    </row>
    <row r="2534" spans="1:22" ht="48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8322</v>
      </c>
      <c r="R2534" t="s">
        <v>8351</v>
      </c>
      <c r="S2534" s="14">
        <f t="shared" si="236"/>
        <v>41107.849143518521</v>
      </c>
      <c r="T2534" s="14">
        <f t="shared" si="237"/>
        <v>41137.849143518521</v>
      </c>
      <c r="U2534" s="64">
        <f t="shared" si="238"/>
        <v>30</v>
      </c>
      <c r="V2534" s="13" t="str">
        <f t="shared" si="239"/>
        <v>funded</v>
      </c>
    </row>
    <row r="2535" spans="1:22" ht="48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8322</v>
      </c>
      <c r="R2535" t="s">
        <v>8351</v>
      </c>
      <c r="S2535" s="14">
        <f t="shared" si="236"/>
        <v>41304.751284722224</v>
      </c>
      <c r="T2535" s="14">
        <f t="shared" si="237"/>
        <v>41334.750787037039</v>
      </c>
      <c r="U2535" s="64">
        <f t="shared" si="238"/>
        <v>29.99950231481489</v>
      </c>
      <c r="V2535" s="13" t="str">
        <f t="shared" si="239"/>
        <v>funded</v>
      </c>
    </row>
    <row r="2536" spans="1:22" ht="6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8322</v>
      </c>
      <c r="R2536" t="s">
        <v>8351</v>
      </c>
      <c r="S2536" s="14">
        <f t="shared" si="236"/>
        <v>40127.700370370374</v>
      </c>
      <c r="T2536" s="14">
        <f t="shared" si="237"/>
        <v>40179.25</v>
      </c>
      <c r="U2536" s="64">
        <f t="shared" si="238"/>
        <v>51.549629629625997</v>
      </c>
      <c r="V2536" s="13" t="str">
        <f t="shared" si="239"/>
        <v>funded</v>
      </c>
    </row>
    <row r="2537" spans="1:22" ht="16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8322</v>
      </c>
      <c r="R2537" t="s">
        <v>8351</v>
      </c>
      <c r="S2537" s="14">
        <f t="shared" si="236"/>
        <v>41943.791030092594</v>
      </c>
      <c r="T2537" s="14">
        <f t="shared" si="237"/>
        <v>41974.832696759258</v>
      </c>
      <c r="U2537" s="64">
        <f t="shared" si="238"/>
        <v>31.041666666664241</v>
      </c>
      <c r="V2537" s="13" t="str">
        <f t="shared" si="239"/>
        <v>funded</v>
      </c>
    </row>
    <row r="2538" spans="1:22" ht="48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8322</v>
      </c>
      <c r="R2538" t="s">
        <v>8351</v>
      </c>
      <c r="S2538" s="14">
        <f t="shared" si="236"/>
        <v>41464.106087962966</v>
      </c>
      <c r="T2538" s="14">
        <f t="shared" si="237"/>
        <v>41485.106087962966</v>
      </c>
      <c r="U2538" s="64">
        <f t="shared" si="238"/>
        <v>21</v>
      </c>
      <c r="V2538" s="13" t="str">
        <f t="shared" si="239"/>
        <v>funded</v>
      </c>
    </row>
    <row r="2539" spans="1:22" ht="48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8322</v>
      </c>
      <c r="R2539" t="s">
        <v>8351</v>
      </c>
      <c r="S2539" s="14">
        <f t="shared" si="236"/>
        <v>40696.648784722223</v>
      </c>
      <c r="T2539" s="14">
        <f t="shared" si="237"/>
        <v>40756.648784722223</v>
      </c>
      <c r="U2539" s="64">
        <f t="shared" si="238"/>
        <v>60</v>
      </c>
      <c r="V2539" s="13" t="str">
        <f t="shared" si="239"/>
        <v>funded</v>
      </c>
    </row>
    <row r="2540" spans="1:22" ht="3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8322</v>
      </c>
      <c r="R2540" t="s">
        <v>8351</v>
      </c>
      <c r="S2540" s="14">
        <f t="shared" si="236"/>
        <v>41298.509965277779</v>
      </c>
      <c r="T2540" s="14">
        <f t="shared" si="237"/>
        <v>41329.207638888889</v>
      </c>
      <c r="U2540" s="64">
        <f t="shared" si="238"/>
        <v>30.697673611110076</v>
      </c>
      <c r="V2540" s="13" t="str">
        <f t="shared" si="239"/>
        <v>funded</v>
      </c>
    </row>
    <row r="2541" spans="1:22" ht="48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8322</v>
      </c>
      <c r="R2541" t="s">
        <v>8351</v>
      </c>
      <c r="S2541" s="14">
        <f t="shared" si="236"/>
        <v>41977.902222222227</v>
      </c>
      <c r="T2541" s="14">
        <f t="shared" si="237"/>
        <v>42037.902222222227</v>
      </c>
      <c r="U2541" s="64">
        <f t="shared" si="238"/>
        <v>60</v>
      </c>
      <c r="V2541" s="13" t="str">
        <f t="shared" si="239"/>
        <v>funded</v>
      </c>
    </row>
    <row r="2542" spans="1:22" ht="48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8322</v>
      </c>
      <c r="R2542" t="s">
        <v>8351</v>
      </c>
      <c r="S2542" s="14">
        <f t="shared" si="236"/>
        <v>40785.675011574072</v>
      </c>
      <c r="T2542" s="14">
        <f t="shared" si="237"/>
        <v>40845.675011574072</v>
      </c>
      <c r="U2542" s="64">
        <f t="shared" si="238"/>
        <v>60</v>
      </c>
      <c r="V2542" s="13" t="str">
        <f t="shared" si="239"/>
        <v>funded</v>
      </c>
    </row>
    <row r="2543" spans="1:22" ht="48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8322</v>
      </c>
      <c r="R2543" t="s">
        <v>8351</v>
      </c>
      <c r="S2543" s="14">
        <f t="shared" si="236"/>
        <v>41483.449282407404</v>
      </c>
      <c r="T2543" s="14">
        <f t="shared" si="237"/>
        <v>41543.449282407404</v>
      </c>
      <c r="U2543" s="64">
        <f t="shared" si="238"/>
        <v>60</v>
      </c>
      <c r="V2543" s="13" t="str">
        <f t="shared" si="239"/>
        <v>funded</v>
      </c>
    </row>
    <row r="2544" spans="1:22" ht="48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8322</v>
      </c>
      <c r="R2544" t="s">
        <v>8351</v>
      </c>
      <c r="S2544" s="14">
        <f t="shared" si="236"/>
        <v>41509.426585648151</v>
      </c>
      <c r="T2544" s="14">
        <f t="shared" si="237"/>
        <v>41548.165972222225</v>
      </c>
      <c r="U2544" s="64">
        <f t="shared" si="238"/>
        <v>38.73938657407416</v>
      </c>
      <c r="V2544" s="13" t="str">
        <f t="shared" si="239"/>
        <v>funded</v>
      </c>
    </row>
    <row r="2545" spans="1:22" ht="48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8322</v>
      </c>
      <c r="R2545" t="s">
        <v>8351</v>
      </c>
      <c r="S2545" s="14">
        <f t="shared" si="236"/>
        <v>40514.107615740737</v>
      </c>
      <c r="T2545" s="14">
        <f t="shared" si="237"/>
        <v>40545.125</v>
      </c>
      <c r="U2545" s="64">
        <f t="shared" si="238"/>
        <v>31.017384259263054</v>
      </c>
      <c r="V2545" s="13" t="str">
        <f t="shared" si="239"/>
        <v>funded</v>
      </c>
    </row>
    <row r="2546" spans="1:22" ht="48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8322</v>
      </c>
      <c r="R2546" t="s">
        <v>8351</v>
      </c>
      <c r="S2546" s="14">
        <f t="shared" si="236"/>
        <v>41068.520474537036</v>
      </c>
      <c r="T2546" s="14">
        <f t="shared" si="237"/>
        <v>41098.520474537036</v>
      </c>
      <c r="U2546" s="64">
        <f t="shared" si="238"/>
        <v>30</v>
      </c>
      <c r="V2546" s="13" t="str">
        <f t="shared" si="239"/>
        <v>funded</v>
      </c>
    </row>
    <row r="2547" spans="1:22" ht="48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8322</v>
      </c>
      <c r="R2547" t="s">
        <v>8351</v>
      </c>
      <c r="S2547" s="14">
        <f t="shared" si="236"/>
        <v>42027.13817129629</v>
      </c>
      <c r="T2547" s="14">
        <f t="shared" si="237"/>
        <v>42062.020833333328</v>
      </c>
      <c r="U2547" s="64">
        <f t="shared" si="238"/>
        <v>34.882662037038244</v>
      </c>
      <c r="V2547" s="13" t="str">
        <f t="shared" si="239"/>
        <v>funded</v>
      </c>
    </row>
    <row r="2548" spans="1:22" ht="48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8322</v>
      </c>
      <c r="R2548" t="s">
        <v>8351</v>
      </c>
      <c r="S2548" s="14">
        <f t="shared" si="236"/>
        <v>41524.858553240738</v>
      </c>
      <c r="T2548" s="14">
        <f t="shared" si="237"/>
        <v>41552.208333333336</v>
      </c>
      <c r="U2548" s="64">
        <f t="shared" si="238"/>
        <v>27.349780092597939</v>
      </c>
      <c r="V2548" s="13" t="str">
        <f t="shared" si="239"/>
        <v>funded</v>
      </c>
    </row>
    <row r="2549" spans="1:22" ht="48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8322</v>
      </c>
      <c r="R2549" t="s">
        <v>8351</v>
      </c>
      <c r="S2549" s="14">
        <f t="shared" si="236"/>
        <v>40973.773182870369</v>
      </c>
      <c r="T2549" s="14">
        <f t="shared" si="237"/>
        <v>41003.731516203705</v>
      </c>
      <c r="U2549" s="64">
        <f t="shared" si="238"/>
        <v>29.958333333335759</v>
      </c>
      <c r="V2549" s="13" t="str">
        <f t="shared" si="239"/>
        <v>funded</v>
      </c>
    </row>
    <row r="2550" spans="1:22" ht="48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8322</v>
      </c>
      <c r="R2550" t="s">
        <v>8351</v>
      </c>
      <c r="S2550" s="14">
        <f t="shared" si="236"/>
        <v>42618.625428240746</v>
      </c>
      <c r="T2550" s="14">
        <f t="shared" si="237"/>
        <v>42643.185416666667</v>
      </c>
      <c r="U2550" s="64">
        <f t="shared" si="238"/>
        <v>24.559988425920892</v>
      </c>
      <c r="V2550" s="13" t="str">
        <f t="shared" si="239"/>
        <v>funded</v>
      </c>
    </row>
    <row r="2551" spans="1:22" ht="48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8322</v>
      </c>
      <c r="R2551" t="s">
        <v>8351</v>
      </c>
      <c r="S2551" s="14">
        <f t="shared" si="236"/>
        <v>41390.757754629631</v>
      </c>
      <c r="T2551" s="14">
        <f t="shared" si="237"/>
        <v>41425.708333333336</v>
      </c>
      <c r="U2551" s="64">
        <f t="shared" si="238"/>
        <v>34.950578703705105</v>
      </c>
      <c r="V2551" s="13" t="str">
        <f t="shared" si="239"/>
        <v>funded</v>
      </c>
    </row>
    <row r="2552" spans="1:22" ht="48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8322</v>
      </c>
      <c r="R2552" t="s">
        <v>8351</v>
      </c>
      <c r="S2552" s="14">
        <f t="shared" si="236"/>
        <v>42228.634328703702</v>
      </c>
      <c r="T2552" s="14">
        <f t="shared" si="237"/>
        <v>42285.165972222225</v>
      </c>
      <c r="U2552" s="64">
        <f t="shared" si="238"/>
        <v>56.531643518523197</v>
      </c>
      <c r="V2552" s="13" t="str">
        <f t="shared" si="239"/>
        <v>funded</v>
      </c>
    </row>
    <row r="2553" spans="1:22" ht="48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8322</v>
      </c>
      <c r="R2553" t="s">
        <v>8351</v>
      </c>
      <c r="S2553" s="14">
        <f t="shared" si="236"/>
        <v>40961.252141203702</v>
      </c>
      <c r="T2553" s="14">
        <f t="shared" si="237"/>
        <v>40989.866666666669</v>
      </c>
      <c r="U2553" s="64">
        <f t="shared" si="238"/>
        <v>28.614525462966412</v>
      </c>
      <c r="V2553" s="13" t="str">
        <f t="shared" si="239"/>
        <v>funded</v>
      </c>
    </row>
    <row r="2554" spans="1:22" ht="48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8322</v>
      </c>
      <c r="R2554" t="s">
        <v>8351</v>
      </c>
      <c r="S2554" s="14">
        <f t="shared" si="236"/>
        <v>42769.809965277775</v>
      </c>
      <c r="T2554" s="14">
        <f t="shared" si="237"/>
        <v>42799.809965277775</v>
      </c>
      <c r="U2554" s="64">
        <f t="shared" si="238"/>
        <v>30</v>
      </c>
      <c r="V2554" s="13" t="str">
        <f t="shared" si="239"/>
        <v>funded</v>
      </c>
    </row>
    <row r="2555" spans="1:22" ht="48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8322</v>
      </c>
      <c r="R2555" t="s">
        <v>8351</v>
      </c>
      <c r="S2555" s="14">
        <f t="shared" si="236"/>
        <v>41113.199155092596</v>
      </c>
      <c r="T2555" s="14">
        <f t="shared" si="237"/>
        <v>41173.199155092596</v>
      </c>
      <c r="U2555" s="64">
        <f t="shared" si="238"/>
        <v>60</v>
      </c>
      <c r="V2555" s="13" t="str">
        <f t="shared" si="239"/>
        <v>funded</v>
      </c>
    </row>
    <row r="2556" spans="1:22" ht="48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8322</v>
      </c>
      <c r="R2556" t="s">
        <v>8351</v>
      </c>
      <c r="S2556" s="14">
        <f t="shared" si="236"/>
        <v>42125.078275462962</v>
      </c>
      <c r="T2556" s="14">
        <f t="shared" si="237"/>
        <v>42156.165972222225</v>
      </c>
      <c r="U2556" s="64">
        <f t="shared" si="238"/>
        <v>31.087696759263054</v>
      </c>
      <c r="V2556" s="13" t="str">
        <f t="shared" si="239"/>
        <v>funded</v>
      </c>
    </row>
    <row r="2557" spans="1:22" ht="48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8322</v>
      </c>
      <c r="R2557" t="s">
        <v>8351</v>
      </c>
      <c r="S2557" s="14">
        <f t="shared" si="236"/>
        <v>41026.655011574076</v>
      </c>
      <c r="T2557" s="14">
        <f t="shared" si="237"/>
        <v>41057.655011574076</v>
      </c>
      <c r="U2557" s="64">
        <f t="shared" si="238"/>
        <v>31</v>
      </c>
      <c r="V2557" s="13" t="str">
        <f t="shared" si="239"/>
        <v>funded</v>
      </c>
    </row>
    <row r="2558" spans="1:22" ht="48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8322</v>
      </c>
      <c r="R2558" t="s">
        <v>8351</v>
      </c>
      <c r="S2558" s="14">
        <f t="shared" si="236"/>
        <v>41222.991400462961</v>
      </c>
      <c r="T2558" s="14">
        <f t="shared" si="237"/>
        <v>41267.991400462961</v>
      </c>
      <c r="U2558" s="64">
        <f t="shared" si="238"/>
        <v>45</v>
      </c>
      <c r="V2558" s="13" t="str">
        <f t="shared" si="239"/>
        <v>funded</v>
      </c>
    </row>
    <row r="2559" spans="1:22" ht="3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8322</v>
      </c>
      <c r="R2559" t="s">
        <v>8351</v>
      </c>
      <c r="S2559" s="14">
        <f t="shared" si="236"/>
        <v>41744.745208333334</v>
      </c>
      <c r="T2559" s="14">
        <f t="shared" si="237"/>
        <v>41774.745208333334</v>
      </c>
      <c r="U2559" s="64">
        <f t="shared" si="238"/>
        <v>30</v>
      </c>
      <c r="V2559" s="13" t="str">
        <f t="shared" si="239"/>
        <v>funded</v>
      </c>
    </row>
    <row r="2560" spans="1:22" ht="3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8322</v>
      </c>
      <c r="R2560" t="s">
        <v>8351</v>
      </c>
      <c r="S2560" s="14">
        <f t="shared" si="236"/>
        <v>42093.860023148154</v>
      </c>
      <c r="T2560" s="14">
        <f t="shared" si="237"/>
        <v>42125.582638888889</v>
      </c>
      <c r="U2560" s="64">
        <f t="shared" si="238"/>
        <v>31.722615740734909</v>
      </c>
      <c r="V2560" s="13" t="str">
        <f t="shared" si="239"/>
        <v>funded</v>
      </c>
    </row>
    <row r="2561" spans="1:22" ht="48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8322</v>
      </c>
      <c r="R2561" t="s">
        <v>8351</v>
      </c>
      <c r="S2561" s="14">
        <f t="shared" si="236"/>
        <v>40829.873657407406</v>
      </c>
      <c r="T2561" s="14">
        <f t="shared" si="237"/>
        <v>40862.817361111112</v>
      </c>
      <c r="U2561" s="64">
        <f t="shared" si="238"/>
        <v>32.943703703705978</v>
      </c>
      <c r="V2561" s="13" t="str">
        <f t="shared" si="239"/>
        <v>funded</v>
      </c>
    </row>
    <row r="2562" spans="1:22" ht="48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>
        <f t="shared" si="235"/>
        <v>143</v>
      </c>
      <c r="Q2562" s="10" t="s">
        <v>8322</v>
      </c>
      <c r="R2562" t="s">
        <v>8351</v>
      </c>
      <c r="S2562" s="14">
        <f t="shared" si="236"/>
        <v>42039.951087962967</v>
      </c>
      <c r="T2562" s="14">
        <f t="shared" si="237"/>
        <v>42069.951087962967</v>
      </c>
      <c r="U2562" s="64">
        <f t="shared" si="238"/>
        <v>30</v>
      </c>
      <c r="V2562" s="13" t="str">
        <f t="shared" si="239"/>
        <v>funded</v>
      </c>
    </row>
    <row r="2563" spans="1:22" ht="48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ROUND(E2563/D2563*100,0)</f>
        <v>0</v>
      </c>
      <c r="P2563">
        <f t="shared" ref="P2563:P2626" si="241">IFERROR(ROUND(E2563/L2563,2), 0)</f>
        <v>0</v>
      </c>
      <c r="Q2563" s="10" t="s">
        <v>8333</v>
      </c>
      <c r="R2563" t="s">
        <v>8334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 s="64">
        <f t="shared" ref="U2563:V2626" si="244">T2563-S2563</f>
        <v>30</v>
      </c>
      <c r="V2563" s="13" t="str">
        <f t="shared" ref="V2563:V2626" si="245">IF(E2563&gt;=D2563, "funded", "underfunded")</f>
        <v>underfunded</v>
      </c>
    </row>
    <row r="2564" spans="1:22" ht="48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8333</v>
      </c>
      <c r="R2564" t="s">
        <v>8334</v>
      </c>
      <c r="S2564" s="14">
        <f t="shared" si="242"/>
        <v>42594.524756944447</v>
      </c>
      <c r="T2564" s="14">
        <f t="shared" si="243"/>
        <v>42654.524756944447</v>
      </c>
      <c r="U2564" s="64">
        <f t="shared" si="244"/>
        <v>60</v>
      </c>
      <c r="V2564" s="13" t="str">
        <f t="shared" si="245"/>
        <v>underfunded</v>
      </c>
    </row>
    <row r="2565" spans="1:22" ht="3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0" t="s">
        <v>8333</v>
      </c>
      <c r="R2565" t="s">
        <v>8334</v>
      </c>
      <c r="S2565" s="14">
        <f t="shared" si="242"/>
        <v>42155.139479166668</v>
      </c>
      <c r="T2565" s="14">
        <f t="shared" si="243"/>
        <v>42215.139479166668</v>
      </c>
      <c r="U2565" s="64">
        <f t="shared" si="244"/>
        <v>60</v>
      </c>
      <c r="V2565" s="13" t="str">
        <f t="shared" si="245"/>
        <v>underfunded</v>
      </c>
    </row>
    <row r="2566" spans="1:22" ht="48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0" t="s">
        <v>8333</v>
      </c>
      <c r="R2566" t="s">
        <v>8334</v>
      </c>
      <c r="S2566" s="14">
        <f t="shared" si="242"/>
        <v>41822.040497685186</v>
      </c>
      <c r="T2566" s="14">
        <f t="shared" si="243"/>
        <v>41852.040497685186</v>
      </c>
      <c r="U2566" s="64">
        <f t="shared" si="244"/>
        <v>30</v>
      </c>
      <c r="V2566" s="13" t="str">
        <f t="shared" si="245"/>
        <v>underfunded</v>
      </c>
    </row>
    <row r="2567" spans="1:22" ht="48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8333</v>
      </c>
      <c r="R2567" t="s">
        <v>8334</v>
      </c>
      <c r="S2567" s="14">
        <f t="shared" si="242"/>
        <v>42440.650335648148</v>
      </c>
      <c r="T2567" s="14">
        <f t="shared" si="243"/>
        <v>42499.868055555555</v>
      </c>
      <c r="U2567" s="64">
        <f t="shared" si="244"/>
        <v>59.217719907406718</v>
      </c>
      <c r="V2567" s="13" t="str">
        <f t="shared" si="245"/>
        <v>underfunded</v>
      </c>
    </row>
    <row r="2568" spans="1:22" ht="48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0" t="s">
        <v>8333</v>
      </c>
      <c r="R2568" t="s">
        <v>8334</v>
      </c>
      <c r="S2568" s="14">
        <f t="shared" si="242"/>
        <v>41842.980879629627</v>
      </c>
      <c r="T2568" s="14">
        <f t="shared" si="243"/>
        <v>41872.980879629627</v>
      </c>
      <c r="U2568" s="64">
        <f t="shared" si="244"/>
        <v>30</v>
      </c>
      <c r="V2568" s="13" t="str">
        <f t="shared" si="245"/>
        <v>underfunded</v>
      </c>
    </row>
    <row r="2569" spans="1:22" ht="48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0" t="s">
        <v>8333</v>
      </c>
      <c r="R2569" t="s">
        <v>8334</v>
      </c>
      <c r="S2569" s="14">
        <f t="shared" si="242"/>
        <v>42087.878912037035</v>
      </c>
      <c r="T2569" s="14">
        <f t="shared" si="243"/>
        <v>42117.878912037035</v>
      </c>
      <c r="U2569" s="64">
        <f t="shared" si="244"/>
        <v>30</v>
      </c>
      <c r="V2569" s="13" t="str">
        <f t="shared" si="245"/>
        <v>underfunded</v>
      </c>
    </row>
    <row r="2570" spans="1:22" ht="48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8333</v>
      </c>
      <c r="R2570" t="s">
        <v>8334</v>
      </c>
      <c r="S2570" s="14">
        <f t="shared" si="242"/>
        <v>42584.666597222225</v>
      </c>
      <c r="T2570" s="14">
        <f t="shared" si="243"/>
        <v>42614.666597222225</v>
      </c>
      <c r="U2570" s="64">
        <f t="shared" si="244"/>
        <v>30</v>
      </c>
      <c r="V2570" s="13" t="str">
        <f t="shared" si="245"/>
        <v>underfunded</v>
      </c>
    </row>
    <row r="2571" spans="1:22" ht="48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8333</v>
      </c>
      <c r="R2571" t="s">
        <v>8334</v>
      </c>
      <c r="S2571" s="14">
        <f t="shared" si="242"/>
        <v>42234.105462962965</v>
      </c>
      <c r="T2571" s="14">
        <f t="shared" si="243"/>
        <v>42264.105462962965</v>
      </c>
      <c r="U2571" s="64">
        <f t="shared" si="244"/>
        <v>30</v>
      </c>
      <c r="V2571" s="13" t="str">
        <f t="shared" si="245"/>
        <v>underfunded</v>
      </c>
    </row>
    <row r="2572" spans="1:22" ht="48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8333</v>
      </c>
      <c r="R2572" t="s">
        <v>8334</v>
      </c>
      <c r="S2572" s="14">
        <f t="shared" si="242"/>
        <v>42744.903182870374</v>
      </c>
      <c r="T2572" s="14">
        <f t="shared" si="243"/>
        <v>42774.903182870374</v>
      </c>
      <c r="U2572" s="64">
        <f t="shared" si="244"/>
        <v>30</v>
      </c>
      <c r="V2572" s="13" t="str">
        <f t="shared" si="245"/>
        <v>underfunded</v>
      </c>
    </row>
    <row r="2573" spans="1:22" ht="48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0" t="s">
        <v>8333</v>
      </c>
      <c r="R2573" t="s">
        <v>8334</v>
      </c>
      <c r="S2573" s="14">
        <f t="shared" si="242"/>
        <v>42449.341678240744</v>
      </c>
      <c r="T2573" s="14">
        <f t="shared" si="243"/>
        <v>42509.341678240744</v>
      </c>
      <c r="U2573" s="64">
        <f t="shared" si="244"/>
        <v>60</v>
      </c>
      <c r="V2573" s="13" t="str">
        <f t="shared" si="245"/>
        <v>underfunded</v>
      </c>
    </row>
    <row r="2574" spans="1:22" ht="48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0" t="s">
        <v>8333</v>
      </c>
      <c r="R2574" t="s">
        <v>8334</v>
      </c>
      <c r="S2574" s="14">
        <f t="shared" si="242"/>
        <v>42077.119409722218</v>
      </c>
      <c r="T2574" s="14">
        <f t="shared" si="243"/>
        <v>42107.119409722218</v>
      </c>
      <c r="U2574" s="64">
        <f t="shared" si="244"/>
        <v>30</v>
      </c>
      <c r="V2574" s="13" t="str">
        <f t="shared" si="245"/>
        <v>underfunded</v>
      </c>
    </row>
    <row r="2575" spans="1:22" ht="48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0" t="s">
        <v>8333</v>
      </c>
      <c r="R2575" t="s">
        <v>8334</v>
      </c>
      <c r="S2575" s="14">
        <f t="shared" si="242"/>
        <v>41829.592002314814</v>
      </c>
      <c r="T2575" s="14">
        <f t="shared" si="243"/>
        <v>41874.592002314814</v>
      </c>
      <c r="U2575" s="64">
        <f t="shared" si="244"/>
        <v>45</v>
      </c>
      <c r="V2575" s="13" t="str">
        <f t="shared" si="245"/>
        <v>underfunded</v>
      </c>
    </row>
    <row r="2576" spans="1:22" ht="48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0" t="s">
        <v>8333</v>
      </c>
      <c r="R2576" t="s">
        <v>8334</v>
      </c>
      <c r="S2576" s="14">
        <f t="shared" si="242"/>
        <v>42487.825752314813</v>
      </c>
      <c r="T2576" s="14">
        <f t="shared" si="243"/>
        <v>42508.825752314813</v>
      </c>
      <c r="U2576" s="64">
        <f t="shared" si="244"/>
        <v>21</v>
      </c>
      <c r="V2576" s="13" t="str">
        <f t="shared" si="245"/>
        <v>underfunded</v>
      </c>
    </row>
    <row r="2577" spans="1:22" ht="48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0" t="s">
        <v>8333</v>
      </c>
      <c r="R2577" t="s">
        <v>8334</v>
      </c>
      <c r="S2577" s="14">
        <f t="shared" si="242"/>
        <v>41986.108726851846</v>
      </c>
      <c r="T2577" s="14">
        <f t="shared" si="243"/>
        <v>42016.108726851846</v>
      </c>
      <c r="U2577" s="64">
        <f t="shared" si="244"/>
        <v>30</v>
      </c>
      <c r="V2577" s="13" t="str">
        <f t="shared" si="245"/>
        <v>underfunded</v>
      </c>
    </row>
    <row r="2578" spans="1:22" ht="3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0" t="s">
        <v>8333</v>
      </c>
      <c r="R2578" t="s">
        <v>8334</v>
      </c>
      <c r="S2578" s="14">
        <f t="shared" si="242"/>
        <v>42060.00980324074</v>
      </c>
      <c r="T2578" s="14">
        <f t="shared" si="243"/>
        <v>42104.968136574069</v>
      </c>
      <c r="U2578" s="64">
        <f t="shared" si="244"/>
        <v>44.958333333328483</v>
      </c>
      <c r="V2578" s="13" t="str">
        <f t="shared" si="245"/>
        <v>underfunded</v>
      </c>
    </row>
    <row r="2579" spans="1:22" ht="48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0" t="s">
        <v>8333</v>
      </c>
      <c r="R2579" t="s">
        <v>8334</v>
      </c>
      <c r="S2579" s="14">
        <f t="shared" si="242"/>
        <v>41830.820567129631</v>
      </c>
      <c r="T2579" s="14">
        <f t="shared" si="243"/>
        <v>41855.820567129631</v>
      </c>
      <c r="U2579" s="64">
        <f t="shared" si="244"/>
        <v>25</v>
      </c>
      <c r="V2579" s="13" t="str">
        <f t="shared" si="245"/>
        <v>underfunded</v>
      </c>
    </row>
    <row r="2580" spans="1:22" ht="48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0" t="s">
        <v>8333</v>
      </c>
      <c r="R2580" t="s">
        <v>8334</v>
      </c>
      <c r="S2580" s="14">
        <f t="shared" si="242"/>
        <v>42238.022905092599</v>
      </c>
      <c r="T2580" s="14">
        <f t="shared" si="243"/>
        <v>42286.708333333328</v>
      </c>
      <c r="U2580" s="64">
        <f t="shared" si="244"/>
        <v>48.685428240729379</v>
      </c>
      <c r="V2580" s="13" t="str">
        <f t="shared" si="245"/>
        <v>underfunded</v>
      </c>
    </row>
    <row r="2581" spans="1:22" ht="48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0" t="s">
        <v>8333</v>
      </c>
      <c r="R2581" t="s">
        <v>8334</v>
      </c>
      <c r="S2581" s="14">
        <f t="shared" si="242"/>
        <v>41837.829895833333</v>
      </c>
      <c r="T2581" s="14">
        <f t="shared" si="243"/>
        <v>41897.829895833333</v>
      </c>
      <c r="U2581" s="64">
        <f t="shared" si="244"/>
        <v>60</v>
      </c>
      <c r="V2581" s="13" t="str">
        <f t="shared" si="245"/>
        <v>underfunded</v>
      </c>
    </row>
    <row r="2582" spans="1:22" ht="48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8333</v>
      </c>
      <c r="R2582" t="s">
        <v>8334</v>
      </c>
      <c r="S2582" s="14">
        <f t="shared" si="242"/>
        <v>42110.326423611114</v>
      </c>
      <c r="T2582" s="14">
        <f t="shared" si="243"/>
        <v>42140.125</v>
      </c>
      <c r="U2582" s="64">
        <f t="shared" si="244"/>
        <v>29.798576388886431</v>
      </c>
      <c r="V2582" s="13" t="str">
        <f t="shared" si="245"/>
        <v>underfunded</v>
      </c>
    </row>
    <row r="2583" spans="1:22" ht="48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8333</v>
      </c>
      <c r="R2583" t="s">
        <v>8334</v>
      </c>
      <c r="S2583" s="14">
        <f t="shared" si="242"/>
        <v>42294.628449074073</v>
      </c>
      <c r="T2583" s="14">
        <f t="shared" si="243"/>
        <v>42324.670115740737</v>
      </c>
      <c r="U2583" s="64">
        <f t="shared" si="244"/>
        <v>30.041666666664241</v>
      </c>
      <c r="V2583" s="13" t="str">
        <f t="shared" si="245"/>
        <v>underfunded</v>
      </c>
    </row>
    <row r="2584" spans="1:22" ht="3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0" t="s">
        <v>8333</v>
      </c>
      <c r="R2584" t="s">
        <v>8334</v>
      </c>
      <c r="S2584" s="14">
        <f t="shared" si="242"/>
        <v>42642.988819444443</v>
      </c>
      <c r="T2584" s="14">
        <f t="shared" si="243"/>
        <v>42672.988819444443</v>
      </c>
      <c r="U2584" s="64">
        <f t="shared" si="244"/>
        <v>30</v>
      </c>
      <c r="V2584" s="13" t="str">
        <f t="shared" si="245"/>
        <v>underfunded</v>
      </c>
    </row>
    <row r="2585" spans="1:22" ht="3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8333</v>
      </c>
      <c r="R2585" t="s">
        <v>8334</v>
      </c>
      <c r="S2585" s="14">
        <f t="shared" si="242"/>
        <v>42019.76944444445</v>
      </c>
      <c r="T2585" s="14">
        <f t="shared" si="243"/>
        <v>42079.727777777778</v>
      </c>
      <c r="U2585" s="64">
        <f t="shared" si="244"/>
        <v>59.958333333328483</v>
      </c>
      <c r="V2585" s="13" t="str">
        <f t="shared" si="245"/>
        <v>underfunded</v>
      </c>
    </row>
    <row r="2586" spans="1:22" ht="3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0" t="s">
        <v>8333</v>
      </c>
      <c r="R2586" t="s">
        <v>8334</v>
      </c>
      <c r="S2586" s="14">
        <f t="shared" si="242"/>
        <v>42140.173252314817</v>
      </c>
      <c r="T2586" s="14">
        <f t="shared" si="243"/>
        <v>42170.173252314817</v>
      </c>
      <c r="U2586" s="64">
        <f t="shared" si="244"/>
        <v>30</v>
      </c>
      <c r="V2586" s="13" t="str">
        <f t="shared" si="245"/>
        <v>underfunded</v>
      </c>
    </row>
    <row r="2587" spans="1:22" ht="48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0" t="s">
        <v>8333</v>
      </c>
      <c r="R2587" t="s">
        <v>8334</v>
      </c>
      <c r="S2587" s="14">
        <f t="shared" si="242"/>
        <v>41795.963333333333</v>
      </c>
      <c r="T2587" s="14">
        <f t="shared" si="243"/>
        <v>41825.963333333333</v>
      </c>
      <c r="U2587" s="64">
        <f t="shared" si="244"/>
        <v>30</v>
      </c>
      <c r="V2587" s="13" t="str">
        <f t="shared" si="245"/>
        <v>underfunded</v>
      </c>
    </row>
    <row r="2588" spans="1:22" ht="3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0" t="s">
        <v>8333</v>
      </c>
      <c r="R2588" t="s">
        <v>8334</v>
      </c>
      <c r="S2588" s="14">
        <f t="shared" si="242"/>
        <v>42333.330277777779</v>
      </c>
      <c r="T2588" s="14">
        <f t="shared" si="243"/>
        <v>42363.330277777779</v>
      </c>
      <c r="U2588" s="64">
        <f t="shared" si="244"/>
        <v>30</v>
      </c>
      <c r="V2588" s="13" t="str">
        <f t="shared" si="245"/>
        <v>underfunded</v>
      </c>
    </row>
    <row r="2589" spans="1:22" ht="48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8333</v>
      </c>
      <c r="R2589" t="s">
        <v>8334</v>
      </c>
      <c r="S2589" s="14">
        <f t="shared" si="242"/>
        <v>42338.675381944442</v>
      </c>
      <c r="T2589" s="14">
        <f t="shared" si="243"/>
        <v>42368.675381944442</v>
      </c>
      <c r="U2589" s="64">
        <f t="shared" si="244"/>
        <v>30</v>
      </c>
      <c r="V2589" s="13" t="str">
        <f t="shared" si="245"/>
        <v>underfunded</v>
      </c>
    </row>
    <row r="2590" spans="1:22" ht="48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8333</v>
      </c>
      <c r="R2590" t="s">
        <v>8334</v>
      </c>
      <c r="S2590" s="14">
        <f t="shared" si="242"/>
        <v>42042.676226851851</v>
      </c>
      <c r="T2590" s="14">
        <f t="shared" si="243"/>
        <v>42094.551388888889</v>
      </c>
      <c r="U2590" s="64">
        <f t="shared" si="244"/>
        <v>51.875162037038535</v>
      </c>
      <c r="V2590" s="13" t="str">
        <f t="shared" si="245"/>
        <v>underfunded</v>
      </c>
    </row>
    <row r="2591" spans="1:22" ht="48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0" t="s">
        <v>8333</v>
      </c>
      <c r="R2591" t="s">
        <v>8334</v>
      </c>
      <c r="S2591" s="14">
        <f t="shared" si="242"/>
        <v>42422.536192129628</v>
      </c>
      <c r="T2591" s="14">
        <f t="shared" si="243"/>
        <v>42452.494525462964</v>
      </c>
      <c r="U2591" s="64">
        <f t="shared" si="244"/>
        <v>29.958333333335759</v>
      </c>
      <c r="V2591" s="13" t="str">
        <f t="shared" si="245"/>
        <v>underfunded</v>
      </c>
    </row>
    <row r="2592" spans="1:22" ht="48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0" t="s">
        <v>8333</v>
      </c>
      <c r="R2592" t="s">
        <v>8334</v>
      </c>
      <c r="S2592" s="14">
        <f t="shared" si="242"/>
        <v>42388.589085648149</v>
      </c>
      <c r="T2592" s="14">
        <f t="shared" si="243"/>
        <v>42395.589085648149</v>
      </c>
      <c r="U2592" s="64">
        <f t="shared" si="244"/>
        <v>7</v>
      </c>
      <c r="V2592" s="13" t="str">
        <f t="shared" si="245"/>
        <v>underfunded</v>
      </c>
    </row>
    <row r="2593" spans="1:22" ht="48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8333</v>
      </c>
      <c r="R2593" t="s">
        <v>8334</v>
      </c>
      <c r="S2593" s="14">
        <f t="shared" si="242"/>
        <v>42382.906527777777</v>
      </c>
      <c r="T2593" s="14">
        <f t="shared" si="243"/>
        <v>42442.864861111113</v>
      </c>
      <c r="U2593" s="64">
        <f t="shared" si="244"/>
        <v>59.958333333335759</v>
      </c>
      <c r="V2593" s="13" t="str">
        <f t="shared" si="245"/>
        <v>underfunded</v>
      </c>
    </row>
    <row r="2594" spans="1:22" ht="48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0" t="s">
        <v>8333</v>
      </c>
      <c r="R2594" t="s">
        <v>8334</v>
      </c>
      <c r="S2594" s="14">
        <f t="shared" si="242"/>
        <v>41887.801168981481</v>
      </c>
      <c r="T2594" s="14">
        <f t="shared" si="243"/>
        <v>41917.801168981481</v>
      </c>
      <c r="U2594" s="64">
        <f t="shared" si="244"/>
        <v>30</v>
      </c>
      <c r="V2594" s="13" t="str">
        <f t="shared" si="245"/>
        <v>underfunded</v>
      </c>
    </row>
    <row r="2595" spans="1:22" ht="48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0" t="s">
        <v>8333</v>
      </c>
      <c r="R2595" t="s">
        <v>8334</v>
      </c>
      <c r="S2595" s="14">
        <f t="shared" si="242"/>
        <v>42089.84520833334</v>
      </c>
      <c r="T2595" s="14">
        <f t="shared" si="243"/>
        <v>42119.84520833334</v>
      </c>
      <c r="U2595" s="64">
        <f t="shared" si="244"/>
        <v>30</v>
      </c>
      <c r="V2595" s="13" t="str">
        <f t="shared" si="245"/>
        <v>underfunded</v>
      </c>
    </row>
    <row r="2596" spans="1:22" ht="48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0" t="s">
        <v>8333</v>
      </c>
      <c r="R2596" t="s">
        <v>8334</v>
      </c>
      <c r="S2596" s="14">
        <f t="shared" si="242"/>
        <v>41828.967916666668</v>
      </c>
      <c r="T2596" s="14">
        <f t="shared" si="243"/>
        <v>41858.967916666668</v>
      </c>
      <c r="U2596" s="64">
        <f t="shared" si="244"/>
        <v>30</v>
      </c>
      <c r="V2596" s="13" t="str">
        <f t="shared" si="245"/>
        <v>underfunded</v>
      </c>
    </row>
    <row r="2597" spans="1:22" ht="3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8333</v>
      </c>
      <c r="R2597" t="s">
        <v>8334</v>
      </c>
      <c r="S2597" s="14">
        <f t="shared" si="242"/>
        <v>42760.244212962964</v>
      </c>
      <c r="T2597" s="14">
        <f t="shared" si="243"/>
        <v>42790.244212962964</v>
      </c>
      <c r="U2597" s="64">
        <f t="shared" si="244"/>
        <v>30</v>
      </c>
      <c r="V2597" s="13" t="str">
        <f t="shared" si="245"/>
        <v>underfunded</v>
      </c>
    </row>
    <row r="2598" spans="1:22" ht="48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8333</v>
      </c>
      <c r="R2598" t="s">
        <v>8334</v>
      </c>
      <c r="S2598" s="14">
        <f t="shared" si="242"/>
        <v>41828.664456018516</v>
      </c>
      <c r="T2598" s="14">
        <f t="shared" si="243"/>
        <v>41858.664456018516</v>
      </c>
      <c r="U2598" s="64">
        <f t="shared" si="244"/>
        <v>30</v>
      </c>
      <c r="V2598" s="13" t="str">
        <f t="shared" si="245"/>
        <v>underfunded</v>
      </c>
    </row>
    <row r="2599" spans="1:22" ht="48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8333</v>
      </c>
      <c r="R2599" t="s">
        <v>8334</v>
      </c>
      <c r="S2599" s="14">
        <f t="shared" si="242"/>
        <v>42510.341631944444</v>
      </c>
      <c r="T2599" s="14">
        <f t="shared" si="243"/>
        <v>42540.341631944444</v>
      </c>
      <c r="U2599" s="64">
        <f t="shared" si="244"/>
        <v>30</v>
      </c>
      <c r="V2599" s="13" t="str">
        <f t="shared" si="245"/>
        <v>underfunded</v>
      </c>
    </row>
    <row r="2600" spans="1:22" ht="3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8333</v>
      </c>
      <c r="R2600" t="s">
        <v>8334</v>
      </c>
      <c r="S2600" s="14">
        <f t="shared" si="242"/>
        <v>42240.840289351851</v>
      </c>
      <c r="T2600" s="14">
        <f t="shared" si="243"/>
        <v>42270.840289351851</v>
      </c>
      <c r="U2600" s="64">
        <f t="shared" si="244"/>
        <v>30</v>
      </c>
      <c r="V2600" s="13" t="str">
        <f t="shared" si="245"/>
        <v>underfunded</v>
      </c>
    </row>
    <row r="2601" spans="1:22" ht="3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8333</v>
      </c>
      <c r="R2601" t="s">
        <v>8334</v>
      </c>
      <c r="S2601" s="14">
        <f t="shared" si="242"/>
        <v>41809.754016203704</v>
      </c>
      <c r="T2601" s="14">
        <f t="shared" si="243"/>
        <v>41854.754016203704</v>
      </c>
      <c r="U2601" s="64">
        <f t="shared" si="244"/>
        <v>45</v>
      </c>
      <c r="V2601" s="13" t="str">
        <f t="shared" si="245"/>
        <v>underfunded</v>
      </c>
    </row>
    <row r="2602" spans="1:22" ht="3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8333</v>
      </c>
      <c r="R2602" t="s">
        <v>8334</v>
      </c>
      <c r="S2602" s="14">
        <f t="shared" si="242"/>
        <v>42394.900462962964</v>
      </c>
      <c r="T2602" s="14">
        <f t="shared" si="243"/>
        <v>42454.858796296292</v>
      </c>
      <c r="U2602" s="64">
        <f t="shared" si="244"/>
        <v>59.958333333328483</v>
      </c>
      <c r="V2602" s="13" t="str">
        <f t="shared" si="245"/>
        <v>underfunded</v>
      </c>
    </row>
    <row r="2603" spans="1:22" ht="48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8316</v>
      </c>
      <c r="R2603" t="s">
        <v>8352</v>
      </c>
      <c r="S2603" s="14">
        <f t="shared" si="242"/>
        <v>41150.902187499996</v>
      </c>
      <c r="T2603" s="14">
        <f t="shared" si="243"/>
        <v>41165.165972222225</v>
      </c>
      <c r="U2603" s="64">
        <f t="shared" si="244"/>
        <v>14.263784722228593</v>
      </c>
      <c r="V2603" s="13" t="str">
        <f t="shared" si="245"/>
        <v>funded</v>
      </c>
    </row>
    <row r="2604" spans="1:22" ht="48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8316</v>
      </c>
      <c r="R2604" t="s">
        <v>8352</v>
      </c>
      <c r="S2604" s="14">
        <f t="shared" si="242"/>
        <v>41915.747314814813</v>
      </c>
      <c r="T2604" s="14">
        <f t="shared" si="243"/>
        <v>41955.888888888891</v>
      </c>
      <c r="U2604" s="64">
        <f t="shared" si="244"/>
        <v>40.141574074077653</v>
      </c>
      <c r="V2604" s="13" t="str">
        <f t="shared" si="245"/>
        <v>funded</v>
      </c>
    </row>
    <row r="2605" spans="1:22" ht="3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8316</v>
      </c>
      <c r="R2605" t="s">
        <v>8352</v>
      </c>
      <c r="S2605" s="14">
        <f t="shared" si="242"/>
        <v>41617.912662037037</v>
      </c>
      <c r="T2605" s="14">
        <f t="shared" si="243"/>
        <v>41631.912662037037</v>
      </c>
      <c r="U2605" s="64">
        <f t="shared" si="244"/>
        <v>14</v>
      </c>
      <c r="V2605" s="13" t="str">
        <f t="shared" si="245"/>
        <v>funded</v>
      </c>
    </row>
    <row r="2606" spans="1:22" ht="48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8316</v>
      </c>
      <c r="R2606" t="s">
        <v>8352</v>
      </c>
      <c r="S2606" s="14">
        <f t="shared" si="242"/>
        <v>40998.051192129627</v>
      </c>
      <c r="T2606" s="14">
        <f t="shared" si="243"/>
        <v>41028.051192129627</v>
      </c>
      <c r="U2606" s="64">
        <f t="shared" si="244"/>
        <v>30</v>
      </c>
      <c r="V2606" s="13" t="str">
        <f t="shared" si="245"/>
        <v>funded</v>
      </c>
    </row>
    <row r="2607" spans="1:22" ht="48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8316</v>
      </c>
      <c r="R2607" t="s">
        <v>8352</v>
      </c>
      <c r="S2607" s="14">
        <f t="shared" si="242"/>
        <v>42508.541550925926</v>
      </c>
      <c r="T2607" s="14">
        <f t="shared" si="243"/>
        <v>42538.541550925926</v>
      </c>
      <c r="U2607" s="64">
        <f t="shared" si="244"/>
        <v>30</v>
      </c>
      <c r="V2607" s="13" t="str">
        <f t="shared" si="245"/>
        <v>funded</v>
      </c>
    </row>
    <row r="2608" spans="1:22" ht="6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8316</v>
      </c>
      <c r="R2608" t="s">
        <v>8352</v>
      </c>
      <c r="S2608" s="14">
        <f t="shared" si="242"/>
        <v>41726.712754629632</v>
      </c>
      <c r="T2608" s="14">
        <f t="shared" si="243"/>
        <v>41758.712754629632</v>
      </c>
      <c r="U2608" s="64">
        <f t="shared" si="244"/>
        <v>32</v>
      </c>
      <c r="V2608" s="13" t="str">
        <f t="shared" si="245"/>
        <v>funded</v>
      </c>
    </row>
    <row r="2609" spans="1:22" ht="48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8316</v>
      </c>
      <c r="R2609" t="s">
        <v>8352</v>
      </c>
      <c r="S2609" s="14">
        <f t="shared" si="242"/>
        <v>42184.874675925923</v>
      </c>
      <c r="T2609" s="14">
        <f t="shared" si="243"/>
        <v>42228.083333333328</v>
      </c>
      <c r="U2609" s="64">
        <f t="shared" si="244"/>
        <v>43.208657407405553</v>
      </c>
      <c r="V2609" s="13" t="str">
        <f t="shared" si="245"/>
        <v>funded</v>
      </c>
    </row>
    <row r="2610" spans="1:22" ht="48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8316</v>
      </c>
      <c r="R2610" t="s">
        <v>8352</v>
      </c>
      <c r="S2610" s="14">
        <f t="shared" si="242"/>
        <v>42767.801712962959</v>
      </c>
      <c r="T2610" s="14">
        <f t="shared" si="243"/>
        <v>42809</v>
      </c>
      <c r="U2610" s="64">
        <f t="shared" si="244"/>
        <v>41.198287037041155</v>
      </c>
      <c r="V2610" s="13" t="str">
        <f t="shared" si="245"/>
        <v>funded</v>
      </c>
    </row>
    <row r="2611" spans="1:22" ht="48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8316</v>
      </c>
      <c r="R2611" t="s">
        <v>8352</v>
      </c>
      <c r="S2611" s="14">
        <f t="shared" si="242"/>
        <v>41075.237858796296</v>
      </c>
      <c r="T2611" s="14">
        <f t="shared" si="243"/>
        <v>41105.237858796296</v>
      </c>
      <c r="U2611" s="64">
        <f t="shared" si="244"/>
        <v>30</v>
      </c>
      <c r="V2611" s="13" t="str">
        <f t="shared" si="245"/>
        <v>funded</v>
      </c>
    </row>
    <row r="2612" spans="1:22" ht="3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8316</v>
      </c>
      <c r="R2612" t="s">
        <v>8352</v>
      </c>
      <c r="S2612" s="14">
        <f t="shared" si="242"/>
        <v>42564.881076388891</v>
      </c>
      <c r="T2612" s="14">
        <f t="shared" si="243"/>
        <v>42604.290972222225</v>
      </c>
      <c r="U2612" s="64">
        <f t="shared" si="244"/>
        <v>39.409895833334303</v>
      </c>
      <c r="V2612" s="13" t="str">
        <f t="shared" si="245"/>
        <v>funded</v>
      </c>
    </row>
    <row r="2613" spans="1:22" ht="48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8316</v>
      </c>
      <c r="R2613" t="s">
        <v>8352</v>
      </c>
      <c r="S2613" s="14">
        <f t="shared" si="242"/>
        <v>42704.335810185185</v>
      </c>
      <c r="T2613" s="14">
        <f t="shared" si="243"/>
        <v>42737.957638888889</v>
      </c>
      <c r="U2613" s="64">
        <f t="shared" si="244"/>
        <v>33.621828703704523</v>
      </c>
      <c r="V2613" s="13" t="str">
        <f t="shared" si="245"/>
        <v>funded</v>
      </c>
    </row>
    <row r="2614" spans="1:22" ht="48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8316</v>
      </c>
      <c r="R2614" t="s">
        <v>8352</v>
      </c>
      <c r="S2614" s="14">
        <f t="shared" si="242"/>
        <v>41982.143171296295</v>
      </c>
      <c r="T2614" s="14">
        <f t="shared" si="243"/>
        <v>42013.143171296295</v>
      </c>
      <c r="U2614" s="64">
        <f t="shared" si="244"/>
        <v>31</v>
      </c>
      <c r="V2614" s="13" t="str">
        <f t="shared" si="245"/>
        <v>funded</v>
      </c>
    </row>
    <row r="2615" spans="1:22" ht="48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8316</v>
      </c>
      <c r="R2615" t="s">
        <v>8352</v>
      </c>
      <c r="S2615" s="14">
        <f t="shared" si="242"/>
        <v>41143.81821759259</v>
      </c>
      <c r="T2615" s="14">
        <f t="shared" si="243"/>
        <v>41173.81821759259</v>
      </c>
      <c r="U2615" s="64">
        <f t="shared" si="244"/>
        <v>30</v>
      </c>
      <c r="V2615" s="13" t="str">
        <f t="shared" si="245"/>
        <v>funded</v>
      </c>
    </row>
    <row r="2616" spans="1:22" ht="48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8316</v>
      </c>
      <c r="R2616" t="s">
        <v>8352</v>
      </c>
      <c r="S2616" s="14">
        <f t="shared" si="242"/>
        <v>41730.708472222221</v>
      </c>
      <c r="T2616" s="14">
        <f t="shared" si="243"/>
        <v>41759.208333333336</v>
      </c>
      <c r="U2616" s="64">
        <f t="shared" si="244"/>
        <v>28.499861111115024</v>
      </c>
      <c r="V2616" s="13" t="str">
        <f t="shared" si="245"/>
        <v>funded</v>
      </c>
    </row>
    <row r="2617" spans="1:22" ht="48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8316</v>
      </c>
      <c r="R2617" t="s">
        <v>8352</v>
      </c>
      <c r="S2617" s="14">
        <f t="shared" si="242"/>
        <v>42453.49726851852</v>
      </c>
      <c r="T2617" s="14">
        <f t="shared" si="243"/>
        <v>42490.5</v>
      </c>
      <c r="U2617" s="64">
        <f t="shared" si="244"/>
        <v>37.002731481479714</v>
      </c>
      <c r="V2617" s="13" t="str">
        <f t="shared" si="245"/>
        <v>funded</v>
      </c>
    </row>
    <row r="2618" spans="1:22" ht="48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8316</v>
      </c>
      <c r="R2618" t="s">
        <v>8352</v>
      </c>
      <c r="S2618" s="14">
        <f t="shared" si="242"/>
        <v>42211.99454861111</v>
      </c>
      <c r="T2618" s="14">
        <f t="shared" si="243"/>
        <v>42241.99454861111</v>
      </c>
      <c r="U2618" s="64">
        <f t="shared" si="244"/>
        <v>30</v>
      </c>
      <c r="V2618" s="13" t="str">
        <f t="shared" si="245"/>
        <v>funded</v>
      </c>
    </row>
    <row r="2619" spans="1:22" ht="48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8316</v>
      </c>
      <c r="R2619" t="s">
        <v>8352</v>
      </c>
      <c r="S2619" s="14">
        <f t="shared" si="242"/>
        <v>41902.874432870369</v>
      </c>
      <c r="T2619" s="14">
        <f t="shared" si="243"/>
        <v>41932.874432870369</v>
      </c>
      <c r="U2619" s="64">
        <f t="shared" si="244"/>
        <v>30</v>
      </c>
      <c r="V2619" s="13" t="str">
        <f t="shared" si="245"/>
        <v>funded</v>
      </c>
    </row>
    <row r="2620" spans="1:22" ht="3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8316</v>
      </c>
      <c r="R2620" t="s">
        <v>8352</v>
      </c>
      <c r="S2620" s="14">
        <f t="shared" si="242"/>
        <v>42279.792372685188</v>
      </c>
      <c r="T2620" s="14">
        <f t="shared" si="243"/>
        <v>42339.834039351852</v>
      </c>
      <c r="U2620" s="64">
        <f t="shared" si="244"/>
        <v>60.041666666664241</v>
      </c>
      <c r="V2620" s="13" t="str">
        <f t="shared" si="245"/>
        <v>funded</v>
      </c>
    </row>
    <row r="2621" spans="1:22" ht="48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8316</v>
      </c>
      <c r="R2621" t="s">
        <v>8352</v>
      </c>
      <c r="S2621" s="14">
        <f t="shared" si="242"/>
        <v>42273.884305555555</v>
      </c>
      <c r="T2621" s="14">
        <f t="shared" si="243"/>
        <v>42300.458333333328</v>
      </c>
      <c r="U2621" s="64">
        <f t="shared" si="244"/>
        <v>26.574027777773154</v>
      </c>
      <c r="V2621" s="13" t="str">
        <f t="shared" si="245"/>
        <v>funded</v>
      </c>
    </row>
    <row r="2622" spans="1:22" ht="48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8316</v>
      </c>
      <c r="R2622" t="s">
        <v>8352</v>
      </c>
      <c r="S2622" s="14">
        <f t="shared" si="242"/>
        <v>42251.16715277778</v>
      </c>
      <c r="T2622" s="14">
        <f t="shared" si="243"/>
        <v>42288.041666666672</v>
      </c>
      <c r="U2622" s="64">
        <f t="shared" si="244"/>
        <v>36.87451388889167</v>
      </c>
      <c r="V2622" s="13" t="str">
        <f t="shared" si="245"/>
        <v>funded</v>
      </c>
    </row>
    <row r="2623" spans="1:22" ht="48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8316</v>
      </c>
      <c r="R2623" t="s">
        <v>8352</v>
      </c>
      <c r="S2623" s="14">
        <f t="shared" si="242"/>
        <v>42115.74754629629</v>
      </c>
      <c r="T2623" s="14">
        <f t="shared" si="243"/>
        <v>42145.74754629629</v>
      </c>
      <c r="U2623" s="64">
        <f t="shared" si="244"/>
        <v>30</v>
      </c>
      <c r="V2623" s="13" t="str">
        <f t="shared" si="245"/>
        <v>funded</v>
      </c>
    </row>
    <row r="2624" spans="1:22" ht="48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8316</v>
      </c>
      <c r="R2624" t="s">
        <v>8352</v>
      </c>
      <c r="S2624" s="14">
        <f t="shared" si="242"/>
        <v>42689.74324074074</v>
      </c>
      <c r="T2624" s="14">
        <f t="shared" si="243"/>
        <v>42734.74324074074</v>
      </c>
      <c r="U2624" s="64">
        <f t="shared" si="244"/>
        <v>45</v>
      </c>
      <c r="V2624" s="13" t="str">
        <f t="shared" si="245"/>
        <v>funded</v>
      </c>
    </row>
    <row r="2625" spans="1:22" ht="48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8316</v>
      </c>
      <c r="R2625" t="s">
        <v>8352</v>
      </c>
      <c r="S2625" s="14">
        <f t="shared" si="242"/>
        <v>42692.256550925929</v>
      </c>
      <c r="T2625" s="14">
        <f t="shared" si="243"/>
        <v>42706.256550925929</v>
      </c>
      <c r="U2625" s="64">
        <f t="shared" si="244"/>
        <v>14</v>
      </c>
      <c r="V2625" s="13" t="str">
        <f t="shared" si="245"/>
        <v>funded</v>
      </c>
    </row>
    <row r="2626" spans="1:22" ht="48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>
        <f t="shared" si="241"/>
        <v>31.82</v>
      </c>
      <c r="Q2626" s="10" t="s">
        <v>8316</v>
      </c>
      <c r="R2626" t="s">
        <v>8352</v>
      </c>
      <c r="S2626" s="14">
        <f t="shared" si="242"/>
        <v>41144.42155092593</v>
      </c>
      <c r="T2626" s="14">
        <f t="shared" si="243"/>
        <v>41165.42155092593</v>
      </c>
      <c r="U2626" s="64">
        <f t="shared" si="244"/>
        <v>21</v>
      </c>
      <c r="V2626" s="13" t="str">
        <f t="shared" si="245"/>
        <v>funded</v>
      </c>
    </row>
    <row r="2627" spans="1:22" ht="48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ROUND(E2627/D2627*100,0)</f>
        <v>956</v>
      </c>
      <c r="P2627">
        <f t="shared" ref="P2627:P2690" si="247">IFERROR(ROUND(E2627/L2627,2), 0)</f>
        <v>27.58</v>
      </c>
      <c r="Q2627" s="10" t="s">
        <v>8316</v>
      </c>
      <c r="R2627" t="s">
        <v>8352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 s="64">
        <f t="shared" ref="U2627:V2690" si="250">T2627-S2627</f>
        <v>25.041666666656965</v>
      </c>
      <c r="V2627" s="13" t="str">
        <f t="shared" ref="V2627:V2690" si="251">IF(E2627&gt;=D2627, "funded", "underfunded")</f>
        <v>funded</v>
      </c>
    </row>
    <row r="2628" spans="1:22" ht="48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8316</v>
      </c>
      <c r="R2628" t="s">
        <v>8352</v>
      </c>
      <c r="S2628" s="14">
        <f t="shared" si="248"/>
        <v>42128.628113425926</v>
      </c>
      <c r="T2628" s="14">
        <f t="shared" si="249"/>
        <v>42158.628113425926</v>
      </c>
      <c r="U2628" s="64">
        <f t="shared" si="250"/>
        <v>30</v>
      </c>
      <c r="V2628" s="13" t="str">
        <f t="shared" si="251"/>
        <v>funded</v>
      </c>
    </row>
    <row r="2629" spans="1:22" ht="48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8316</v>
      </c>
      <c r="R2629" t="s">
        <v>8352</v>
      </c>
      <c r="S2629" s="14">
        <f t="shared" si="248"/>
        <v>42304.829409722224</v>
      </c>
      <c r="T2629" s="14">
        <f t="shared" si="249"/>
        <v>42334.871076388896</v>
      </c>
      <c r="U2629" s="64">
        <f t="shared" si="250"/>
        <v>30.041666666671517</v>
      </c>
      <c r="V2629" s="13" t="str">
        <f t="shared" si="251"/>
        <v>funded</v>
      </c>
    </row>
    <row r="2630" spans="1:22" ht="3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8316</v>
      </c>
      <c r="R2630" t="s">
        <v>8352</v>
      </c>
      <c r="S2630" s="14">
        <f t="shared" si="248"/>
        <v>41953.966053240743</v>
      </c>
      <c r="T2630" s="14">
        <f t="shared" si="249"/>
        <v>41973.966053240743</v>
      </c>
      <c r="U2630" s="64">
        <f t="shared" si="250"/>
        <v>20</v>
      </c>
      <c r="V2630" s="13" t="str">
        <f t="shared" si="251"/>
        <v>funded</v>
      </c>
    </row>
    <row r="2631" spans="1:22" ht="3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8316</v>
      </c>
      <c r="R2631" t="s">
        <v>8352</v>
      </c>
      <c r="S2631" s="14">
        <f t="shared" si="248"/>
        <v>42108.538449074069</v>
      </c>
      <c r="T2631" s="14">
        <f t="shared" si="249"/>
        <v>42138.538449074069</v>
      </c>
      <c r="U2631" s="64">
        <f t="shared" si="250"/>
        <v>30</v>
      </c>
      <c r="V2631" s="13" t="str">
        <f t="shared" si="251"/>
        <v>funded</v>
      </c>
    </row>
    <row r="2632" spans="1:22" ht="48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8316</v>
      </c>
      <c r="R2632" t="s">
        <v>8352</v>
      </c>
      <c r="S2632" s="14">
        <f t="shared" si="248"/>
        <v>42524.105462962965</v>
      </c>
      <c r="T2632" s="14">
        <f t="shared" si="249"/>
        <v>42551.416666666672</v>
      </c>
      <c r="U2632" s="64">
        <f t="shared" si="250"/>
        <v>27.311203703706269</v>
      </c>
      <c r="V2632" s="13" t="str">
        <f t="shared" si="251"/>
        <v>funded</v>
      </c>
    </row>
    <row r="2633" spans="1:22" ht="48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8316</v>
      </c>
      <c r="R2633" t="s">
        <v>8352</v>
      </c>
      <c r="S2633" s="14">
        <f t="shared" si="248"/>
        <v>42218.169293981482</v>
      </c>
      <c r="T2633" s="14">
        <f t="shared" si="249"/>
        <v>42246.169293981482</v>
      </c>
      <c r="U2633" s="64">
        <f t="shared" si="250"/>
        <v>28</v>
      </c>
      <c r="V2633" s="13" t="str">
        <f t="shared" si="251"/>
        <v>funded</v>
      </c>
    </row>
    <row r="2634" spans="1:22" ht="48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8316</v>
      </c>
      <c r="R2634" t="s">
        <v>8352</v>
      </c>
      <c r="S2634" s="14">
        <f t="shared" si="248"/>
        <v>42494.061793981484</v>
      </c>
      <c r="T2634" s="14">
        <f t="shared" si="249"/>
        <v>42519.061793981484</v>
      </c>
      <c r="U2634" s="64">
        <f t="shared" si="250"/>
        <v>25</v>
      </c>
      <c r="V2634" s="13" t="str">
        <f t="shared" si="251"/>
        <v>funded</v>
      </c>
    </row>
    <row r="2635" spans="1:22" ht="48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8316</v>
      </c>
      <c r="R2635" t="s">
        <v>8352</v>
      </c>
      <c r="S2635" s="14">
        <f t="shared" si="248"/>
        <v>41667.823287037041</v>
      </c>
      <c r="T2635" s="14">
        <f t="shared" si="249"/>
        <v>41697.958333333336</v>
      </c>
      <c r="U2635" s="64">
        <f t="shared" si="250"/>
        <v>30.135046296294604</v>
      </c>
      <c r="V2635" s="13" t="str">
        <f t="shared" si="251"/>
        <v>funded</v>
      </c>
    </row>
    <row r="2636" spans="1:22" ht="48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8316</v>
      </c>
      <c r="R2636" t="s">
        <v>8352</v>
      </c>
      <c r="S2636" s="14">
        <f t="shared" si="248"/>
        <v>42612.656493055561</v>
      </c>
      <c r="T2636" s="14">
        <f t="shared" si="249"/>
        <v>42642.656493055561</v>
      </c>
      <c r="U2636" s="64">
        <f t="shared" si="250"/>
        <v>30</v>
      </c>
      <c r="V2636" s="13" t="str">
        <f t="shared" si="251"/>
        <v>funded</v>
      </c>
    </row>
    <row r="2637" spans="1:22" ht="48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8316</v>
      </c>
      <c r="R2637" t="s">
        <v>8352</v>
      </c>
      <c r="S2637" s="14">
        <f t="shared" si="248"/>
        <v>42037.950937500005</v>
      </c>
      <c r="T2637" s="14">
        <f t="shared" si="249"/>
        <v>42072.909270833334</v>
      </c>
      <c r="U2637" s="64">
        <f t="shared" si="250"/>
        <v>34.958333333328483</v>
      </c>
      <c r="V2637" s="13" t="str">
        <f t="shared" si="251"/>
        <v>funded</v>
      </c>
    </row>
    <row r="2638" spans="1:22" ht="48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8316</v>
      </c>
      <c r="R2638" t="s">
        <v>8352</v>
      </c>
      <c r="S2638" s="14">
        <f t="shared" si="248"/>
        <v>42636.614745370374</v>
      </c>
      <c r="T2638" s="14">
        <f t="shared" si="249"/>
        <v>42659.041666666672</v>
      </c>
      <c r="U2638" s="64">
        <f t="shared" si="250"/>
        <v>22.426921296297223</v>
      </c>
      <c r="V2638" s="13" t="str">
        <f t="shared" si="251"/>
        <v>funded</v>
      </c>
    </row>
    <row r="2639" spans="1:22" ht="3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8316</v>
      </c>
      <c r="R2639" t="s">
        <v>8352</v>
      </c>
      <c r="S2639" s="14">
        <f t="shared" si="248"/>
        <v>42639.549479166672</v>
      </c>
      <c r="T2639" s="14">
        <f t="shared" si="249"/>
        <v>42655.549479166672</v>
      </c>
      <c r="U2639" s="64">
        <f t="shared" si="250"/>
        <v>16</v>
      </c>
      <c r="V2639" s="13" t="str">
        <f t="shared" si="251"/>
        <v>funded</v>
      </c>
    </row>
    <row r="2640" spans="1:22" ht="48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8316</v>
      </c>
      <c r="R2640" t="s">
        <v>8352</v>
      </c>
      <c r="S2640" s="14">
        <f t="shared" si="248"/>
        <v>41989.913136574076</v>
      </c>
      <c r="T2640" s="14">
        <f t="shared" si="249"/>
        <v>42019.913136574076</v>
      </c>
      <c r="U2640" s="64">
        <f t="shared" si="250"/>
        <v>30</v>
      </c>
      <c r="V2640" s="13" t="str">
        <f t="shared" si="251"/>
        <v>funded</v>
      </c>
    </row>
    <row r="2641" spans="1:22" ht="48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8316</v>
      </c>
      <c r="R2641" t="s">
        <v>8352</v>
      </c>
      <c r="S2641" s="14">
        <f t="shared" si="248"/>
        <v>42024.86513888889</v>
      </c>
      <c r="T2641" s="14">
        <f t="shared" si="249"/>
        <v>42054.86513888889</v>
      </c>
      <c r="U2641" s="64">
        <f t="shared" si="250"/>
        <v>30</v>
      </c>
      <c r="V2641" s="13" t="str">
        <f t="shared" si="251"/>
        <v>funded</v>
      </c>
    </row>
    <row r="2642" spans="1:22" ht="6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8316</v>
      </c>
      <c r="R2642" t="s">
        <v>8352</v>
      </c>
      <c r="S2642" s="14">
        <f t="shared" si="248"/>
        <v>42103.160578703704</v>
      </c>
      <c r="T2642" s="14">
        <f t="shared" si="249"/>
        <v>42163.160578703704</v>
      </c>
      <c r="U2642" s="64">
        <f t="shared" si="250"/>
        <v>60</v>
      </c>
      <c r="V2642" s="13" t="str">
        <f t="shared" si="251"/>
        <v>funded</v>
      </c>
    </row>
    <row r="2643" spans="1:22" ht="3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8316</v>
      </c>
      <c r="R2643" t="s">
        <v>8352</v>
      </c>
      <c r="S2643" s="14">
        <f t="shared" si="248"/>
        <v>41880.827118055553</v>
      </c>
      <c r="T2643" s="14">
        <f t="shared" si="249"/>
        <v>41897.839583333334</v>
      </c>
      <c r="U2643" s="64">
        <f t="shared" si="250"/>
        <v>17.012465277781303</v>
      </c>
      <c r="V2643" s="13" t="str">
        <f t="shared" si="251"/>
        <v>underfunded</v>
      </c>
    </row>
    <row r="2644" spans="1:22" ht="6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0" t="s">
        <v>8316</v>
      </c>
      <c r="R2644" t="s">
        <v>8352</v>
      </c>
      <c r="S2644" s="14">
        <f t="shared" si="248"/>
        <v>42536.246620370366</v>
      </c>
      <c r="T2644" s="14">
        <f t="shared" si="249"/>
        <v>42566.289583333331</v>
      </c>
      <c r="U2644" s="64">
        <f t="shared" si="250"/>
        <v>30.042962962965248</v>
      </c>
      <c r="V2644" s="13" t="str">
        <f t="shared" si="251"/>
        <v>underfunded</v>
      </c>
    </row>
    <row r="2645" spans="1:22" ht="48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8316</v>
      </c>
      <c r="R2645" t="s">
        <v>8352</v>
      </c>
      <c r="S2645" s="14">
        <f t="shared" si="248"/>
        <v>42689.582349537035</v>
      </c>
      <c r="T2645" s="14">
        <f t="shared" si="249"/>
        <v>42725.332638888889</v>
      </c>
      <c r="U2645" s="64">
        <f t="shared" si="250"/>
        <v>35.750289351854008</v>
      </c>
      <c r="V2645" s="13" t="str">
        <f t="shared" si="251"/>
        <v>underfunded</v>
      </c>
    </row>
    <row r="2646" spans="1:22" ht="48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8316</v>
      </c>
      <c r="R2646" t="s">
        <v>8352</v>
      </c>
      <c r="S2646" s="14">
        <f t="shared" si="248"/>
        <v>42774.792071759264</v>
      </c>
      <c r="T2646" s="14">
        <f t="shared" si="249"/>
        <v>42804.792071759264</v>
      </c>
      <c r="U2646" s="64">
        <f t="shared" si="250"/>
        <v>30</v>
      </c>
      <c r="V2646" s="13" t="str">
        <f t="shared" si="251"/>
        <v>underfunded</v>
      </c>
    </row>
    <row r="2647" spans="1:22" ht="48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8316</v>
      </c>
      <c r="R2647" t="s">
        <v>8352</v>
      </c>
      <c r="S2647" s="14">
        <f t="shared" si="248"/>
        <v>41921.842627314814</v>
      </c>
      <c r="T2647" s="14">
        <f t="shared" si="249"/>
        <v>41951.884293981479</v>
      </c>
      <c r="U2647" s="64">
        <f t="shared" si="250"/>
        <v>30.041666666664241</v>
      </c>
      <c r="V2647" s="13" t="str">
        <f t="shared" si="251"/>
        <v>underfunded</v>
      </c>
    </row>
    <row r="2648" spans="1:22" ht="48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8316</v>
      </c>
      <c r="R2648" t="s">
        <v>8352</v>
      </c>
      <c r="S2648" s="14">
        <f t="shared" si="248"/>
        <v>42226.313298611116</v>
      </c>
      <c r="T2648" s="14">
        <f t="shared" si="249"/>
        <v>42256.313298611116</v>
      </c>
      <c r="U2648" s="64">
        <f t="shared" si="250"/>
        <v>30</v>
      </c>
      <c r="V2648" s="13" t="str">
        <f t="shared" si="251"/>
        <v>underfunded</v>
      </c>
    </row>
    <row r="2649" spans="1:22" ht="48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8316</v>
      </c>
      <c r="R2649" t="s">
        <v>8352</v>
      </c>
      <c r="S2649" s="14">
        <f t="shared" si="248"/>
        <v>42200.261793981481</v>
      </c>
      <c r="T2649" s="14">
        <f t="shared" si="249"/>
        <v>42230.261793981481</v>
      </c>
      <c r="U2649" s="64">
        <f t="shared" si="250"/>
        <v>30</v>
      </c>
      <c r="V2649" s="13" t="str">
        <f t="shared" si="251"/>
        <v>underfunded</v>
      </c>
    </row>
    <row r="2650" spans="1:22" ht="48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8316</v>
      </c>
      <c r="R2650" t="s">
        <v>8352</v>
      </c>
      <c r="S2650" s="14">
        <f t="shared" si="248"/>
        <v>42408.714814814812</v>
      </c>
      <c r="T2650" s="14">
        <f t="shared" si="249"/>
        <v>42438.714814814812</v>
      </c>
      <c r="U2650" s="64">
        <f t="shared" si="250"/>
        <v>30</v>
      </c>
      <c r="V2650" s="13" t="str">
        <f t="shared" si="251"/>
        <v>underfunded</v>
      </c>
    </row>
    <row r="2651" spans="1:22" ht="16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0" t="s">
        <v>8316</v>
      </c>
      <c r="R2651" t="s">
        <v>8352</v>
      </c>
      <c r="S2651" s="14">
        <f t="shared" si="248"/>
        <v>42341.99700231482</v>
      </c>
      <c r="T2651" s="14">
        <f t="shared" si="249"/>
        <v>42401.99700231482</v>
      </c>
      <c r="U2651" s="64">
        <f t="shared" si="250"/>
        <v>60</v>
      </c>
      <c r="V2651" s="13" t="str">
        <f t="shared" si="251"/>
        <v>underfunded</v>
      </c>
    </row>
    <row r="2652" spans="1:22" ht="48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8316</v>
      </c>
      <c r="R2652" t="s">
        <v>8352</v>
      </c>
      <c r="S2652" s="14">
        <f t="shared" si="248"/>
        <v>42695.624340277776</v>
      </c>
      <c r="T2652" s="14">
        <f t="shared" si="249"/>
        <v>42725.624340277776</v>
      </c>
      <c r="U2652" s="64">
        <f t="shared" si="250"/>
        <v>30</v>
      </c>
      <c r="V2652" s="13" t="str">
        <f t="shared" si="251"/>
        <v>underfunded</v>
      </c>
    </row>
    <row r="2653" spans="1:22" ht="48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8316</v>
      </c>
      <c r="R2653" t="s">
        <v>8352</v>
      </c>
      <c r="S2653" s="14">
        <f t="shared" si="248"/>
        <v>42327.805659722217</v>
      </c>
      <c r="T2653" s="14">
        <f t="shared" si="249"/>
        <v>42355.805659722217</v>
      </c>
      <c r="U2653" s="64">
        <f t="shared" si="250"/>
        <v>28</v>
      </c>
      <c r="V2653" s="13" t="str">
        <f t="shared" si="251"/>
        <v>underfunded</v>
      </c>
    </row>
    <row r="2654" spans="1:22" ht="48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8316</v>
      </c>
      <c r="R2654" t="s">
        <v>8352</v>
      </c>
      <c r="S2654" s="14">
        <f t="shared" si="248"/>
        <v>41953.158854166672</v>
      </c>
      <c r="T2654" s="14">
        <f t="shared" si="249"/>
        <v>41983.158854166672</v>
      </c>
      <c r="U2654" s="64">
        <f t="shared" si="250"/>
        <v>30</v>
      </c>
      <c r="V2654" s="13" t="str">
        <f t="shared" si="251"/>
        <v>underfunded</v>
      </c>
    </row>
    <row r="2655" spans="1:22" ht="48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8316</v>
      </c>
      <c r="R2655" t="s">
        <v>8352</v>
      </c>
      <c r="S2655" s="14">
        <f t="shared" si="248"/>
        <v>41771.651932870373</v>
      </c>
      <c r="T2655" s="14">
        <f t="shared" si="249"/>
        <v>41803.166666666664</v>
      </c>
      <c r="U2655" s="64">
        <f t="shared" si="250"/>
        <v>31.514733796291694</v>
      </c>
      <c r="V2655" s="13" t="str">
        <f t="shared" si="251"/>
        <v>underfunded</v>
      </c>
    </row>
    <row r="2656" spans="1:22" ht="48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0" t="s">
        <v>8316</v>
      </c>
      <c r="R2656" t="s">
        <v>8352</v>
      </c>
      <c r="S2656" s="14">
        <f t="shared" si="248"/>
        <v>42055.600995370376</v>
      </c>
      <c r="T2656" s="14">
        <f t="shared" si="249"/>
        <v>42115.559328703705</v>
      </c>
      <c r="U2656" s="64">
        <f t="shared" si="250"/>
        <v>59.958333333328483</v>
      </c>
      <c r="V2656" s="13" t="str">
        <f t="shared" si="251"/>
        <v>underfunded</v>
      </c>
    </row>
    <row r="2657" spans="1:22" ht="16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8316</v>
      </c>
      <c r="R2657" t="s">
        <v>8352</v>
      </c>
      <c r="S2657" s="14">
        <f t="shared" si="248"/>
        <v>42381.866284722222</v>
      </c>
      <c r="T2657" s="14">
        <f t="shared" si="249"/>
        <v>42409.833333333328</v>
      </c>
      <c r="U2657" s="64">
        <f t="shared" si="250"/>
        <v>27.967048611106293</v>
      </c>
      <c r="V2657" s="13" t="str">
        <f t="shared" si="251"/>
        <v>underfunded</v>
      </c>
    </row>
    <row r="2658" spans="1:22" ht="3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8316</v>
      </c>
      <c r="R2658" t="s">
        <v>8352</v>
      </c>
      <c r="S2658" s="14">
        <f t="shared" si="248"/>
        <v>42767.688518518517</v>
      </c>
      <c r="T2658" s="14">
        <f t="shared" si="249"/>
        <v>42806.791666666672</v>
      </c>
      <c r="U2658" s="64">
        <f t="shared" si="250"/>
        <v>39.103148148155014</v>
      </c>
      <c r="V2658" s="13" t="str">
        <f t="shared" si="251"/>
        <v>underfunded</v>
      </c>
    </row>
    <row r="2659" spans="1:22" ht="48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8316</v>
      </c>
      <c r="R2659" t="s">
        <v>8352</v>
      </c>
      <c r="S2659" s="14">
        <f t="shared" si="248"/>
        <v>42551.928854166668</v>
      </c>
      <c r="T2659" s="14">
        <f t="shared" si="249"/>
        <v>42585.0625</v>
      </c>
      <c r="U2659" s="64">
        <f t="shared" si="250"/>
        <v>33.133645833331684</v>
      </c>
      <c r="V2659" s="13" t="str">
        <f t="shared" si="251"/>
        <v>underfunded</v>
      </c>
    </row>
    <row r="2660" spans="1:22" ht="48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0" t="s">
        <v>8316</v>
      </c>
      <c r="R2660" t="s">
        <v>8352</v>
      </c>
      <c r="S2660" s="14">
        <f t="shared" si="248"/>
        <v>42551.884189814817</v>
      </c>
      <c r="T2660" s="14">
        <f t="shared" si="249"/>
        <v>42581.884189814817</v>
      </c>
      <c r="U2660" s="64">
        <f t="shared" si="250"/>
        <v>30</v>
      </c>
      <c r="V2660" s="13" t="str">
        <f t="shared" si="251"/>
        <v>underfunded</v>
      </c>
    </row>
    <row r="2661" spans="1:22" ht="16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8316</v>
      </c>
      <c r="R2661" t="s">
        <v>8352</v>
      </c>
      <c r="S2661" s="14">
        <f t="shared" si="248"/>
        <v>42082.069560185191</v>
      </c>
      <c r="T2661" s="14">
        <f t="shared" si="249"/>
        <v>42112.069560185191</v>
      </c>
      <c r="U2661" s="64">
        <f t="shared" si="250"/>
        <v>30</v>
      </c>
      <c r="V2661" s="13" t="str">
        <f t="shared" si="251"/>
        <v>underfunded</v>
      </c>
    </row>
    <row r="2662" spans="1:22" ht="48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0" t="s">
        <v>8316</v>
      </c>
      <c r="R2662" t="s">
        <v>8352</v>
      </c>
      <c r="S2662" s="14">
        <f t="shared" si="248"/>
        <v>42272.713171296295</v>
      </c>
      <c r="T2662" s="14">
        <f t="shared" si="249"/>
        <v>42332.754837962959</v>
      </c>
      <c r="U2662" s="64">
        <f t="shared" si="250"/>
        <v>60.041666666664241</v>
      </c>
      <c r="V2662" s="13" t="str">
        <f t="shared" si="251"/>
        <v>underfunded</v>
      </c>
    </row>
    <row r="2663" spans="1:22" ht="48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8316</v>
      </c>
      <c r="R2663" t="s">
        <v>8353</v>
      </c>
      <c r="S2663" s="14">
        <f t="shared" si="248"/>
        <v>41542.958449074074</v>
      </c>
      <c r="T2663" s="14">
        <f t="shared" si="249"/>
        <v>41572.958449074074</v>
      </c>
      <c r="U2663" s="64">
        <f t="shared" si="250"/>
        <v>30</v>
      </c>
      <c r="V2663" s="13" t="str">
        <f t="shared" si="251"/>
        <v>funded</v>
      </c>
    </row>
    <row r="2664" spans="1:22" ht="48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8316</v>
      </c>
      <c r="R2664" t="s">
        <v>8353</v>
      </c>
      <c r="S2664" s="14">
        <f t="shared" si="248"/>
        <v>42207.746678240743</v>
      </c>
      <c r="T2664" s="14">
        <f t="shared" si="249"/>
        <v>42237.746678240743</v>
      </c>
      <c r="U2664" s="64">
        <f t="shared" si="250"/>
        <v>30</v>
      </c>
      <c r="V2664" s="13" t="str">
        <f t="shared" si="251"/>
        <v>funded</v>
      </c>
    </row>
    <row r="2665" spans="1:22" ht="48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8316</v>
      </c>
      <c r="R2665" t="s">
        <v>8353</v>
      </c>
      <c r="S2665" s="14">
        <f t="shared" si="248"/>
        <v>42222.622766203705</v>
      </c>
      <c r="T2665" s="14">
        <f t="shared" si="249"/>
        <v>42251.625</v>
      </c>
      <c r="U2665" s="64">
        <f t="shared" si="250"/>
        <v>29.002233796294604</v>
      </c>
      <c r="V2665" s="13" t="str">
        <f t="shared" si="251"/>
        <v>funded</v>
      </c>
    </row>
    <row r="2666" spans="1:22" ht="48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8316</v>
      </c>
      <c r="R2666" t="s">
        <v>8353</v>
      </c>
      <c r="S2666" s="14">
        <f t="shared" si="248"/>
        <v>42313.02542824074</v>
      </c>
      <c r="T2666" s="14">
        <f t="shared" si="249"/>
        <v>42347.290972222225</v>
      </c>
      <c r="U2666" s="64">
        <f t="shared" si="250"/>
        <v>34.26554398148437</v>
      </c>
      <c r="V2666" s="13" t="str">
        <f t="shared" si="251"/>
        <v>funded</v>
      </c>
    </row>
    <row r="2667" spans="1:22" ht="48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8316</v>
      </c>
      <c r="R2667" t="s">
        <v>8353</v>
      </c>
      <c r="S2667" s="14">
        <f t="shared" si="248"/>
        <v>42083.895532407405</v>
      </c>
      <c r="T2667" s="14">
        <f t="shared" si="249"/>
        <v>42128.895532407405</v>
      </c>
      <c r="U2667" s="64">
        <f t="shared" si="250"/>
        <v>45</v>
      </c>
      <c r="V2667" s="13" t="str">
        <f t="shared" si="251"/>
        <v>funded</v>
      </c>
    </row>
    <row r="2668" spans="1:22" ht="48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8316</v>
      </c>
      <c r="R2668" t="s">
        <v>8353</v>
      </c>
      <c r="S2668" s="14">
        <f t="shared" si="248"/>
        <v>42235.764340277776</v>
      </c>
      <c r="T2668" s="14">
        <f t="shared" si="249"/>
        <v>42272.875</v>
      </c>
      <c r="U2668" s="64">
        <f t="shared" si="250"/>
        <v>37.110659722224227</v>
      </c>
      <c r="V2668" s="13" t="str">
        <f t="shared" si="251"/>
        <v>funded</v>
      </c>
    </row>
    <row r="2669" spans="1:22" ht="48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8316</v>
      </c>
      <c r="R2669" t="s">
        <v>8353</v>
      </c>
      <c r="S2669" s="14">
        <f t="shared" si="248"/>
        <v>42380.926111111112</v>
      </c>
      <c r="T2669" s="14">
        <f t="shared" si="249"/>
        <v>42410.926111111112</v>
      </c>
      <c r="U2669" s="64">
        <f t="shared" si="250"/>
        <v>30</v>
      </c>
      <c r="V2669" s="13" t="str">
        <f t="shared" si="251"/>
        <v>funded</v>
      </c>
    </row>
    <row r="2670" spans="1:22" ht="3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8316</v>
      </c>
      <c r="R2670" t="s">
        <v>8353</v>
      </c>
      <c r="S2670" s="14">
        <f t="shared" si="248"/>
        <v>42275.588715277772</v>
      </c>
      <c r="T2670" s="14">
        <f t="shared" si="249"/>
        <v>42317.60555555555</v>
      </c>
      <c r="U2670" s="64">
        <f t="shared" si="250"/>
        <v>42.016840277778101</v>
      </c>
      <c r="V2670" s="13" t="str">
        <f t="shared" si="251"/>
        <v>funded</v>
      </c>
    </row>
    <row r="2671" spans="1:22" ht="48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8316</v>
      </c>
      <c r="R2671" t="s">
        <v>8353</v>
      </c>
      <c r="S2671" s="14">
        <f t="shared" si="248"/>
        <v>42319.035833333335</v>
      </c>
      <c r="T2671" s="14">
        <f t="shared" si="249"/>
        <v>42379.035833333335</v>
      </c>
      <c r="U2671" s="64">
        <f t="shared" si="250"/>
        <v>60</v>
      </c>
      <c r="V2671" s="13" t="str">
        <f t="shared" si="251"/>
        <v>funded</v>
      </c>
    </row>
    <row r="2672" spans="1:22" ht="48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8316</v>
      </c>
      <c r="R2672" t="s">
        <v>8353</v>
      </c>
      <c r="S2672" s="14">
        <f t="shared" si="248"/>
        <v>41821.020601851851</v>
      </c>
      <c r="T2672" s="14">
        <f t="shared" si="249"/>
        <v>41849.020601851851</v>
      </c>
      <c r="U2672" s="64">
        <f t="shared" si="250"/>
        <v>28</v>
      </c>
      <c r="V2672" s="13" t="str">
        <f t="shared" si="251"/>
        <v>underfunded</v>
      </c>
    </row>
    <row r="2673" spans="1:22" ht="48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8316</v>
      </c>
      <c r="R2673" t="s">
        <v>8353</v>
      </c>
      <c r="S2673" s="14">
        <f t="shared" si="248"/>
        <v>41962.749027777783</v>
      </c>
      <c r="T2673" s="14">
        <f t="shared" si="249"/>
        <v>41992.818055555559</v>
      </c>
      <c r="U2673" s="64">
        <f t="shared" si="250"/>
        <v>30.069027777775773</v>
      </c>
      <c r="V2673" s="13" t="str">
        <f t="shared" si="251"/>
        <v>underfunded</v>
      </c>
    </row>
    <row r="2674" spans="1:22" ht="48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8316</v>
      </c>
      <c r="R2674" t="s">
        <v>8353</v>
      </c>
      <c r="S2674" s="14">
        <f t="shared" si="248"/>
        <v>42344.884143518517</v>
      </c>
      <c r="T2674" s="14">
        <f t="shared" si="249"/>
        <v>42366.25</v>
      </c>
      <c r="U2674" s="64">
        <f t="shared" si="250"/>
        <v>21.365856481483206</v>
      </c>
      <c r="V2674" s="13" t="str">
        <f t="shared" si="251"/>
        <v>underfunded</v>
      </c>
    </row>
    <row r="2675" spans="1:22" ht="48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8316</v>
      </c>
      <c r="R2675" t="s">
        <v>8353</v>
      </c>
      <c r="S2675" s="14">
        <f t="shared" si="248"/>
        <v>41912.541655092595</v>
      </c>
      <c r="T2675" s="14">
        <f t="shared" si="249"/>
        <v>41941.947916666664</v>
      </c>
      <c r="U2675" s="64">
        <f t="shared" si="250"/>
        <v>29.406261574069504</v>
      </c>
      <c r="V2675" s="13" t="str">
        <f t="shared" si="251"/>
        <v>underfunded</v>
      </c>
    </row>
    <row r="2676" spans="1:22" ht="6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8316</v>
      </c>
      <c r="R2676" t="s">
        <v>8353</v>
      </c>
      <c r="S2676" s="14">
        <f t="shared" si="248"/>
        <v>42529.632754629631</v>
      </c>
      <c r="T2676" s="14">
        <f t="shared" si="249"/>
        <v>42556.207638888889</v>
      </c>
      <c r="U2676" s="64">
        <f t="shared" si="250"/>
        <v>26.574884259258397</v>
      </c>
      <c r="V2676" s="13" t="str">
        <f t="shared" si="251"/>
        <v>underfunded</v>
      </c>
    </row>
    <row r="2677" spans="1:22" ht="48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8316</v>
      </c>
      <c r="R2677" t="s">
        <v>8353</v>
      </c>
      <c r="S2677" s="14">
        <f t="shared" si="248"/>
        <v>41923.857511574075</v>
      </c>
      <c r="T2677" s="14">
        <f t="shared" si="249"/>
        <v>41953.899178240739</v>
      </c>
      <c r="U2677" s="64">
        <f t="shared" si="250"/>
        <v>30.041666666664241</v>
      </c>
      <c r="V2677" s="13" t="str">
        <f t="shared" si="251"/>
        <v>underfunded</v>
      </c>
    </row>
    <row r="2678" spans="1:22" ht="48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8316</v>
      </c>
      <c r="R2678" t="s">
        <v>8353</v>
      </c>
      <c r="S2678" s="14">
        <f t="shared" si="248"/>
        <v>42482.624699074076</v>
      </c>
      <c r="T2678" s="14">
        <f t="shared" si="249"/>
        <v>42512.624699074076</v>
      </c>
      <c r="U2678" s="64">
        <f t="shared" si="250"/>
        <v>30</v>
      </c>
      <c r="V2678" s="13" t="str">
        <f t="shared" si="251"/>
        <v>underfunded</v>
      </c>
    </row>
    <row r="2679" spans="1:22" ht="48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8316</v>
      </c>
      <c r="R2679" t="s">
        <v>8353</v>
      </c>
      <c r="S2679" s="14">
        <f t="shared" si="248"/>
        <v>41793.029432870368</v>
      </c>
      <c r="T2679" s="14">
        <f t="shared" si="249"/>
        <v>41823.029432870368</v>
      </c>
      <c r="U2679" s="64">
        <f t="shared" si="250"/>
        <v>30</v>
      </c>
      <c r="V2679" s="13" t="str">
        <f t="shared" si="251"/>
        <v>underfunded</v>
      </c>
    </row>
    <row r="2680" spans="1:22" ht="48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0" t="s">
        <v>8316</v>
      </c>
      <c r="R2680" t="s">
        <v>8353</v>
      </c>
      <c r="S2680" s="14">
        <f t="shared" si="248"/>
        <v>42241.798206018517</v>
      </c>
      <c r="T2680" s="14">
        <f t="shared" si="249"/>
        <v>42271.798206018517</v>
      </c>
      <c r="U2680" s="64">
        <f t="shared" si="250"/>
        <v>30</v>
      </c>
      <c r="V2680" s="13" t="str">
        <f t="shared" si="251"/>
        <v>underfunded</v>
      </c>
    </row>
    <row r="2681" spans="1:22" ht="48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0" t="s">
        <v>8316</v>
      </c>
      <c r="R2681" t="s">
        <v>8353</v>
      </c>
      <c r="S2681" s="14">
        <f t="shared" si="248"/>
        <v>42033.001087962963</v>
      </c>
      <c r="T2681" s="14">
        <f t="shared" si="249"/>
        <v>42063.001087962963</v>
      </c>
      <c r="U2681" s="64">
        <f t="shared" si="250"/>
        <v>30</v>
      </c>
      <c r="V2681" s="13" t="str">
        <f t="shared" si="251"/>
        <v>underfunded</v>
      </c>
    </row>
    <row r="2682" spans="1:22" ht="16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8316</v>
      </c>
      <c r="R2682" t="s">
        <v>8353</v>
      </c>
      <c r="S2682" s="14">
        <f t="shared" si="248"/>
        <v>42436.211701388893</v>
      </c>
      <c r="T2682" s="14">
        <f t="shared" si="249"/>
        <v>42466.170034722221</v>
      </c>
      <c r="U2682" s="64">
        <f t="shared" si="250"/>
        <v>29.958333333328483</v>
      </c>
      <c r="V2682" s="13" t="str">
        <f t="shared" si="251"/>
        <v>underfunded</v>
      </c>
    </row>
    <row r="2683" spans="1:22" ht="48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8333</v>
      </c>
      <c r="R2683" t="s">
        <v>8334</v>
      </c>
      <c r="S2683" s="14">
        <f t="shared" si="248"/>
        <v>41805.895254629628</v>
      </c>
      <c r="T2683" s="14">
        <f t="shared" si="249"/>
        <v>41830.895254629628</v>
      </c>
      <c r="U2683" s="64">
        <f t="shared" si="250"/>
        <v>25</v>
      </c>
      <c r="V2683" s="13" t="str">
        <f t="shared" si="251"/>
        <v>underfunded</v>
      </c>
    </row>
    <row r="2684" spans="1:22" ht="48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8333</v>
      </c>
      <c r="R2684" t="s">
        <v>8334</v>
      </c>
      <c r="S2684" s="14">
        <f t="shared" si="248"/>
        <v>41932.871990740743</v>
      </c>
      <c r="T2684" s="14">
        <f t="shared" si="249"/>
        <v>41965.249305555553</v>
      </c>
      <c r="U2684" s="64">
        <f t="shared" si="250"/>
        <v>32.377314814810234</v>
      </c>
      <c r="V2684" s="13" t="str">
        <f t="shared" si="251"/>
        <v>underfunded</v>
      </c>
    </row>
    <row r="2685" spans="1:22" ht="48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0" t="s">
        <v>8333</v>
      </c>
      <c r="R2685" t="s">
        <v>8334</v>
      </c>
      <c r="S2685" s="14">
        <f t="shared" si="248"/>
        <v>42034.75509259259</v>
      </c>
      <c r="T2685" s="14">
        <f t="shared" si="249"/>
        <v>42064.75509259259</v>
      </c>
      <c r="U2685" s="64">
        <f t="shared" si="250"/>
        <v>30</v>
      </c>
      <c r="V2685" s="13" t="str">
        <f t="shared" si="251"/>
        <v>underfunded</v>
      </c>
    </row>
    <row r="2686" spans="1:22" ht="48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8333</v>
      </c>
      <c r="R2686" t="s">
        <v>8334</v>
      </c>
      <c r="S2686" s="14">
        <f t="shared" si="248"/>
        <v>41820.914641203701</v>
      </c>
      <c r="T2686" s="14">
        <f t="shared" si="249"/>
        <v>41860.914641203701</v>
      </c>
      <c r="U2686" s="64">
        <f t="shared" si="250"/>
        <v>40</v>
      </c>
      <c r="V2686" s="13" t="str">
        <f t="shared" si="251"/>
        <v>underfunded</v>
      </c>
    </row>
    <row r="2687" spans="1:22" ht="48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0" t="s">
        <v>8333</v>
      </c>
      <c r="R2687" t="s">
        <v>8334</v>
      </c>
      <c r="S2687" s="14">
        <f t="shared" si="248"/>
        <v>42061.69594907407</v>
      </c>
      <c r="T2687" s="14">
        <f t="shared" si="249"/>
        <v>42121.654282407413</v>
      </c>
      <c r="U2687" s="64">
        <f t="shared" si="250"/>
        <v>59.958333333343035</v>
      </c>
      <c r="V2687" s="13" t="str">
        <f t="shared" si="251"/>
        <v>underfunded</v>
      </c>
    </row>
    <row r="2688" spans="1:22" ht="48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0" t="s">
        <v>8333</v>
      </c>
      <c r="R2688" t="s">
        <v>8334</v>
      </c>
      <c r="S2688" s="14">
        <f t="shared" si="248"/>
        <v>41892.974803240737</v>
      </c>
      <c r="T2688" s="14">
        <f t="shared" si="249"/>
        <v>41912.974803240737</v>
      </c>
      <c r="U2688" s="64">
        <f t="shared" si="250"/>
        <v>20</v>
      </c>
      <c r="V2688" s="13" t="str">
        <f t="shared" si="251"/>
        <v>underfunded</v>
      </c>
    </row>
    <row r="2689" spans="1:22" ht="48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0" t="s">
        <v>8333</v>
      </c>
      <c r="R2689" t="s">
        <v>8334</v>
      </c>
      <c r="S2689" s="14">
        <f t="shared" si="248"/>
        <v>42154.64025462963</v>
      </c>
      <c r="T2689" s="14">
        <f t="shared" si="249"/>
        <v>42184.64025462963</v>
      </c>
      <c r="U2689" s="64">
        <f t="shared" si="250"/>
        <v>30</v>
      </c>
      <c r="V2689" s="13" t="str">
        <f t="shared" si="251"/>
        <v>underfunded</v>
      </c>
    </row>
    <row r="2690" spans="1:22" ht="3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</v>
      </c>
      <c r="P2690">
        <f t="shared" si="247"/>
        <v>5.29</v>
      </c>
      <c r="Q2690" s="10" t="s">
        <v>8333</v>
      </c>
      <c r="R2690" t="s">
        <v>8334</v>
      </c>
      <c r="S2690" s="14">
        <f t="shared" si="248"/>
        <v>42028.118865740747</v>
      </c>
      <c r="T2690" s="14">
        <f t="shared" si="249"/>
        <v>42059.125</v>
      </c>
      <c r="U2690" s="64">
        <f t="shared" si="250"/>
        <v>31.006134259252576</v>
      </c>
      <c r="V2690" s="13" t="str">
        <f t="shared" si="251"/>
        <v>underfunded</v>
      </c>
    </row>
    <row r="2691" spans="1:22" ht="48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ROUND(E2691/D2691*100,0)</f>
        <v>0</v>
      </c>
      <c r="P2691">
        <f t="shared" ref="P2691:P2754" si="253">IFERROR(ROUND(E2691/L2691,2), 0)</f>
        <v>1</v>
      </c>
      <c r="Q2691" s="10" t="s">
        <v>8333</v>
      </c>
      <c r="R2691" t="s">
        <v>8334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 s="64">
        <f t="shared" ref="U2691:V2754" si="256">T2691-S2691</f>
        <v>30</v>
      </c>
      <c r="V2691" s="13" t="str">
        <f t="shared" ref="V2691:V2754" si="257">IF(E2691&gt;=D2691, "funded", "underfunded")</f>
        <v>underfunded</v>
      </c>
    </row>
    <row r="2692" spans="1:22" ht="48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8333</v>
      </c>
      <c r="R2692" t="s">
        <v>8334</v>
      </c>
      <c r="S2692" s="14">
        <f t="shared" si="254"/>
        <v>42113.105046296296</v>
      </c>
      <c r="T2692" s="14">
        <f t="shared" si="255"/>
        <v>42158.105046296296</v>
      </c>
      <c r="U2692" s="64">
        <f t="shared" si="256"/>
        <v>45</v>
      </c>
      <c r="V2692" s="13" t="str">
        <f t="shared" si="257"/>
        <v>underfunded</v>
      </c>
    </row>
    <row r="2693" spans="1:22" ht="3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0" t="s">
        <v>8333</v>
      </c>
      <c r="R2693" t="s">
        <v>8334</v>
      </c>
      <c r="S2693" s="14">
        <f t="shared" si="254"/>
        <v>42089.724039351851</v>
      </c>
      <c r="T2693" s="14">
        <f t="shared" si="255"/>
        <v>42134.724039351851</v>
      </c>
      <c r="U2693" s="64">
        <f t="shared" si="256"/>
        <v>45</v>
      </c>
      <c r="V2693" s="13" t="str">
        <f t="shared" si="257"/>
        <v>underfunded</v>
      </c>
    </row>
    <row r="2694" spans="1:22" ht="48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8333</v>
      </c>
      <c r="R2694" t="s">
        <v>8334</v>
      </c>
      <c r="S2694" s="14">
        <f t="shared" si="254"/>
        <v>42058.334027777775</v>
      </c>
      <c r="T2694" s="14">
        <f t="shared" si="255"/>
        <v>42088.292361111111</v>
      </c>
      <c r="U2694" s="64">
        <f t="shared" si="256"/>
        <v>29.958333333335759</v>
      </c>
      <c r="V2694" s="13" t="str">
        <f t="shared" si="257"/>
        <v>underfunded</v>
      </c>
    </row>
    <row r="2695" spans="1:22" ht="48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8333</v>
      </c>
      <c r="R2695" t="s">
        <v>8334</v>
      </c>
      <c r="S2695" s="14">
        <f t="shared" si="254"/>
        <v>41834.138495370367</v>
      </c>
      <c r="T2695" s="14">
        <f t="shared" si="255"/>
        <v>41864.138495370367</v>
      </c>
      <c r="U2695" s="64">
        <f t="shared" si="256"/>
        <v>30</v>
      </c>
      <c r="V2695" s="13" t="str">
        <f t="shared" si="257"/>
        <v>underfunded</v>
      </c>
    </row>
    <row r="2696" spans="1:22" ht="48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0" t="s">
        <v>8333</v>
      </c>
      <c r="R2696" t="s">
        <v>8334</v>
      </c>
      <c r="S2696" s="14">
        <f t="shared" si="254"/>
        <v>41878.140497685185</v>
      </c>
      <c r="T2696" s="14">
        <f t="shared" si="255"/>
        <v>41908.140497685185</v>
      </c>
      <c r="U2696" s="64">
        <f t="shared" si="256"/>
        <v>30</v>
      </c>
      <c r="V2696" s="13" t="str">
        <f t="shared" si="257"/>
        <v>underfunded</v>
      </c>
    </row>
    <row r="2697" spans="1:22" ht="3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0" t="s">
        <v>8333</v>
      </c>
      <c r="R2697" t="s">
        <v>8334</v>
      </c>
      <c r="S2697" s="14">
        <f t="shared" si="254"/>
        <v>42048.181921296295</v>
      </c>
      <c r="T2697" s="14">
        <f t="shared" si="255"/>
        <v>42108.14025462963</v>
      </c>
      <c r="U2697" s="64">
        <f t="shared" si="256"/>
        <v>59.958333333335759</v>
      </c>
      <c r="V2697" s="13" t="str">
        <f t="shared" si="257"/>
        <v>underfunded</v>
      </c>
    </row>
    <row r="2698" spans="1:22" ht="48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8333</v>
      </c>
      <c r="R2698" t="s">
        <v>8334</v>
      </c>
      <c r="S2698" s="14">
        <f t="shared" si="254"/>
        <v>41964.844444444447</v>
      </c>
      <c r="T2698" s="14">
        <f t="shared" si="255"/>
        <v>41998.844444444447</v>
      </c>
      <c r="U2698" s="64">
        <f t="shared" si="256"/>
        <v>34</v>
      </c>
      <c r="V2698" s="13" t="str">
        <f t="shared" si="257"/>
        <v>underfunded</v>
      </c>
    </row>
    <row r="2699" spans="1:22" ht="48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8333</v>
      </c>
      <c r="R2699" t="s">
        <v>8334</v>
      </c>
      <c r="S2699" s="14">
        <f t="shared" si="254"/>
        <v>42187.940081018518</v>
      </c>
      <c r="T2699" s="14">
        <f t="shared" si="255"/>
        <v>42218.916666666672</v>
      </c>
      <c r="U2699" s="64">
        <f t="shared" si="256"/>
        <v>30.976585648153559</v>
      </c>
      <c r="V2699" s="13" t="str">
        <f t="shared" si="257"/>
        <v>underfunded</v>
      </c>
    </row>
    <row r="2700" spans="1:22" ht="48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0" t="s">
        <v>8333</v>
      </c>
      <c r="R2700" t="s">
        <v>8334</v>
      </c>
      <c r="S2700" s="14">
        <f t="shared" si="254"/>
        <v>41787.898240740738</v>
      </c>
      <c r="T2700" s="14">
        <f t="shared" si="255"/>
        <v>41817.898240740738</v>
      </c>
      <c r="U2700" s="64">
        <f t="shared" si="256"/>
        <v>30</v>
      </c>
      <c r="V2700" s="13" t="str">
        <f t="shared" si="257"/>
        <v>underfunded</v>
      </c>
    </row>
    <row r="2701" spans="1:22" ht="48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0" t="s">
        <v>8333</v>
      </c>
      <c r="R2701" t="s">
        <v>8334</v>
      </c>
      <c r="S2701" s="14">
        <f t="shared" si="254"/>
        <v>41829.896562499998</v>
      </c>
      <c r="T2701" s="14">
        <f t="shared" si="255"/>
        <v>41859.896562499998</v>
      </c>
      <c r="U2701" s="64">
        <f t="shared" si="256"/>
        <v>30</v>
      </c>
      <c r="V2701" s="13" t="str">
        <f t="shared" si="257"/>
        <v>underfunded</v>
      </c>
    </row>
    <row r="2702" spans="1:22" ht="48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8333</v>
      </c>
      <c r="R2702" t="s">
        <v>8334</v>
      </c>
      <c r="S2702" s="14">
        <f t="shared" si="254"/>
        <v>41870.87467592593</v>
      </c>
      <c r="T2702" s="14">
        <f t="shared" si="255"/>
        <v>41900.87467592593</v>
      </c>
      <c r="U2702" s="64">
        <f t="shared" si="256"/>
        <v>30</v>
      </c>
      <c r="V2702" s="13" t="str">
        <f t="shared" si="257"/>
        <v>underfunded</v>
      </c>
    </row>
    <row r="2703" spans="1:22" ht="48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8314</v>
      </c>
      <c r="R2703" t="s">
        <v>8354</v>
      </c>
      <c r="S2703" s="14">
        <f t="shared" si="254"/>
        <v>42801.774699074071</v>
      </c>
      <c r="T2703" s="14">
        <f t="shared" si="255"/>
        <v>42832.733032407406</v>
      </c>
      <c r="U2703" s="64">
        <f t="shared" si="256"/>
        <v>30.958333333335759</v>
      </c>
      <c r="V2703" s="13" t="str">
        <f t="shared" si="257"/>
        <v>underfunded</v>
      </c>
    </row>
    <row r="2704" spans="1:22" ht="48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8314</v>
      </c>
      <c r="R2704" t="s">
        <v>8354</v>
      </c>
      <c r="S2704" s="14">
        <f t="shared" si="254"/>
        <v>42800.801817129628</v>
      </c>
      <c r="T2704" s="14">
        <f t="shared" si="255"/>
        <v>42830.760150462964</v>
      </c>
      <c r="U2704" s="64">
        <f t="shared" si="256"/>
        <v>29.958333333335759</v>
      </c>
      <c r="V2704" s="13" t="str">
        <f t="shared" si="257"/>
        <v>underfunded</v>
      </c>
    </row>
    <row r="2705" spans="1:22" ht="3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8314</v>
      </c>
      <c r="R2705" t="s">
        <v>8354</v>
      </c>
      <c r="S2705" s="14">
        <f t="shared" si="254"/>
        <v>42756.690162037034</v>
      </c>
      <c r="T2705" s="14">
        <f t="shared" si="255"/>
        <v>42816.648495370369</v>
      </c>
      <c r="U2705" s="64">
        <f t="shared" si="256"/>
        <v>59.958333333335759</v>
      </c>
      <c r="V2705" s="13" t="str">
        <f t="shared" si="257"/>
        <v>funded</v>
      </c>
    </row>
    <row r="2706" spans="1:22" ht="48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8314</v>
      </c>
      <c r="R2706" t="s">
        <v>8354</v>
      </c>
      <c r="S2706" s="14">
        <f t="shared" si="254"/>
        <v>42787.862430555557</v>
      </c>
      <c r="T2706" s="14">
        <f t="shared" si="255"/>
        <v>42830.820763888885</v>
      </c>
      <c r="U2706" s="64">
        <f t="shared" si="256"/>
        <v>42.958333333328483</v>
      </c>
      <c r="V2706" s="13" t="str">
        <f t="shared" si="257"/>
        <v>underfunded</v>
      </c>
    </row>
    <row r="2707" spans="1:22" ht="3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8314</v>
      </c>
      <c r="R2707" t="s">
        <v>8354</v>
      </c>
      <c r="S2707" s="14">
        <f t="shared" si="254"/>
        <v>42773.916180555556</v>
      </c>
      <c r="T2707" s="14">
        <f t="shared" si="255"/>
        <v>42818.874513888892</v>
      </c>
      <c r="U2707" s="64">
        <f t="shared" si="256"/>
        <v>44.958333333335759</v>
      </c>
      <c r="V2707" s="13" t="str">
        <f t="shared" si="257"/>
        <v>underfunded</v>
      </c>
    </row>
    <row r="2708" spans="1:22" ht="48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8314</v>
      </c>
      <c r="R2708" t="s">
        <v>8354</v>
      </c>
      <c r="S2708" s="14">
        <f t="shared" si="254"/>
        <v>41899.294942129629</v>
      </c>
      <c r="T2708" s="14">
        <f t="shared" si="255"/>
        <v>41928.290972222225</v>
      </c>
      <c r="U2708" s="64">
        <f t="shared" si="256"/>
        <v>28.996030092595902</v>
      </c>
      <c r="V2708" s="13" t="str">
        <f t="shared" si="257"/>
        <v>funded</v>
      </c>
    </row>
    <row r="2709" spans="1:22" ht="48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8314</v>
      </c>
      <c r="R2709" t="s">
        <v>8354</v>
      </c>
      <c r="S2709" s="14">
        <f t="shared" si="254"/>
        <v>41391.782905092594</v>
      </c>
      <c r="T2709" s="14">
        <f t="shared" si="255"/>
        <v>41421.290972222225</v>
      </c>
      <c r="U2709" s="64">
        <f t="shared" si="256"/>
        <v>29.508067129630945</v>
      </c>
      <c r="V2709" s="13" t="str">
        <f t="shared" si="257"/>
        <v>funded</v>
      </c>
    </row>
    <row r="2710" spans="1:22" ht="48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8314</v>
      </c>
      <c r="R2710" t="s">
        <v>8354</v>
      </c>
      <c r="S2710" s="14">
        <f t="shared" si="254"/>
        <v>42512.698217592595</v>
      </c>
      <c r="T2710" s="14">
        <f t="shared" si="255"/>
        <v>42572.698217592595</v>
      </c>
      <c r="U2710" s="64">
        <f t="shared" si="256"/>
        <v>60</v>
      </c>
      <c r="V2710" s="13" t="str">
        <f t="shared" si="257"/>
        <v>funded</v>
      </c>
    </row>
    <row r="2711" spans="1:22" ht="48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8314</v>
      </c>
      <c r="R2711" t="s">
        <v>8354</v>
      </c>
      <c r="S2711" s="14">
        <f t="shared" si="254"/>
        <v>42612.149780092594</v>
      </c>
      <c r="T2711" s="14">
        <f t="shared" si="255"/>
        <v>42647.165972222225</v>
      </c>
      <c r="U2711" s="64">
        <f t="shared" si="256"/>
        <v>35.016192129631236</v>
      </c>
      <c r="V2711" s="13" t="str">
        <f t="shared" si="257"/>
        <v>funded</v>
      </c>
    </row>
    <row r="2712" spans="1:22" ht="3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8314</v>
      </c>
      <c r="R2712" t="s">
        <v>8354</v>
      </c>
      <c r="S2712" s="14">
        <f t="shared" si="254"/>
        <v>41828.229490740741</v>
      </c>
      <c r="T2712" s="14">
        <f t="shared" si="255"/>
        <v>41860.083333333336</v>
      </c>
      <c r="U2712" s="64">
        <f t="shared" si="256"/>
        <v>31.853842592594447</v>
      </c>
      <c r="V2712" s="13" t="str">
        <f t="shared" si="257"/>
        <v>funded</v>
      </c>
    </row>
    <row r="2713" spans="1:22" ht="48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8314</v>
      </c>
      <c r="R2713" t="s">
        <v>8354</v>
      </c>
      <c r="S2713" s="14">
        <f t="shared" si="254"/>
        <v>41780.745254629634</v>
      </c>
      <c r="T2713" s="14">
        <f t="shared" si="255"/>
        <v>41810.917361111111</v>
      </c>
      <c r="U2713" s="64">
        <f t="shared" si="256"/>
        <v>30.172106481477385</v>
      </c>
      <c r="V2713" s="13" t="str">
        <f t="shared" si="257"/>
        <v>funded</v>
      </c>
    </row>
    <row r="2714" spans="1:22" ht="48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8314</v>
      </c>
      <c r="R2714" t="s">
        <v>8354</v>
      </c>
      <c r="S2714" s="14">
        <f t="shared" si="254"/>
        <v>41432.062037037038</v>
      </c>
      <c r="T2714" s="14">
        <f t="shared" si="255"/>
        <v>41468.75</v>
      </c>
      <c r="U2714" s="64">
        <f t="shared" si="256"/>
        <v>36.687962962962047</v>
      </c>
      <c r="V2714" s="13" t="str">
        <f t="shared" si="257"/>
        <v>funded</v>
      </c>
    </row>
    <row r="2715" spans="1:22" ht="48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8314</v>
      </c>
      <c r="R2715" t="s">
        <v>8354</v>
      </c>
      <c r="S2715" s="14">
        <f t="shared" si="254"/>
        <v>42322.653749999998</v>
      </c>
      <c r="T2715" s="14">
        <f t="shared" si="255"/>
        <v>42362.653749999998</v>
      </c>
      <c r="U2715" s="64">
        <f t="shared" si="256"/>
        <v>40</v>
      </c>
      <c r="V2715" s="13" t="str">
        <f t="shared" si="257"/>
        <v>funded</v>
      </c>
    </row>
    <row r="2716" spans="1:22" ht="3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8314</v>
      </c>
      <c r="R2716" t="s">
        <v>8354</v>
      </c>
      <c r="S2716" s="14">
        <f t="shared" si="254"/>
        <v>42629.655046296291</v>
      </c>
      <c r="T2716" s="14">
        <f t="shared" si="255"/>
        <v>42657.958333333328</v>
      </c>
      <c r="U2716" s="64">
        <f t="shared" si="256"/>
        <v>28.30328703703708</v>
      </c>
      <c r="V2716" s="13" t="str">
        <f t="shared" si="257"/>
        <v>funded</v>
      </c>
    </row>
    <row r="2717" spans="1:22" ht="48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8314</v>
      </c>
      <c r="R2717" t="s">
        <v>8354</v>
      </c>
      <c r="S2717" s="14">
        <f t="shared" si="254"/>
        <v>42387.398472222223</v>
      </c>
      <c r="T2717" s="14">
        <f t="shared" si="255"/>
        <v>42421.398472222223</v>
      </c>
      <c r="U2717" s="64">
        <f t="shared" si="256"/>
        <v>34</v>
      </c>
      <c r="V2717" s="13" t="str">
        <f t="shared" si="257"/>
        <v>funded</v>
      </c>
    </row>
    <row r="2718" spans="1:22" ht="6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8314</v>
      </c>
      <c r="R2718" t="s">
        <v>8354</v>
      </c>
      <c r="S2718" s="14">
        <f t="shared" si="254"/>
        <v>42255.333252314813</v>
      </c>
      <c r="T2718" s="14">
        <f t="shared" si="255"/>
        <v>42285.333252314813</v>
      </c>
      <c r="U2718" s="64">
        <f t="shared" si="256"/>
        <v>30</v>
      </c>
      <c r="V2718" s="13" t="str">
        <f t="shared" si="257"/>
        <v>funded</v>
      </c>
    </row>
    <row r="2719" spans="1:22" ht="48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8314</v>
      </c>
      <c r="R2719" t="s">
        <v>8354</v>
      </c>
      <c r="S2719" s="14">
        <f t="shared" si="254"/>
        <v>41934.914918981485</v>
      </c>
      <c r="T2719" s="14">
        <f t="shared" si="255"/>
        <v>41979.956585648149</v>
      </c>
      <c r="U2719" s="64">
        <f t="shared" si="256"/>
        <v>45.041666666664241</v>
      </c>
      <c r="V2719" s="13" t="str">
        <f t="shared" si="257"/>
        <v>funded</v>
      </c>
    </row>
    <row r="2720" spans="1:22" ht="48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8314</v>
      </c>
      <c r="R2720" t="s">
        <v>8354</v>
      </c>
      <c r="S2720" s="14">
        <f t="shared" si="254"/>
        <v>42465.596585648149</v>
      </c>
      <c r="T2720" s="14">
        <f t="shared" si="255"/>
        <v>42493.958333333328</v>
      </c>
      <c r="U2720" s="64">
        <f t="shared" si="256"/>
        <v>28.36174768517958</v>
      </c>
      <c r="V2720" s="13" t="str">
        <f t="shared" si="257"/>
        <v>funded</v>
      </c>
    </row>
    <row r="2721" spans="1:22" ht="48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8314</v>
      </c>
      <c r="R2721" t="s">
        <v>8354</v>
      </c>
      <c r="S2721" s="14">
        <f t="shared" si="254"/>
        <v>42418.031180555554</v>
      </c>
      <c r="T2721" s="14">
        <f t="shared" si="255"/>
        <v>42477.989513888882</v>
      </c>
      <c r="U2721" s="64">
        <f t="shared" si="256"/>
        <v>59.958333333328483</v>
      </c>
      <c r="V2721" s="13" t="str">
        <f t="shared" si="257"/>
        <v>funded</v>
      </c>
    </row>
    <row r="2722" spans="1:22" ht="48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8314</v>
      </c>
      <c r="R2722" t="s">
        <v>8354</v>
      </c>
      <c r="S2722" s="14">
        <f t="shared" si="254"/>
        <v>42655.465891203698</v>
      </c>
      <c r="T2722" s="14">
        <f t="shared" si="255"/>
        <v>42685.507557870369</v>
      </c>
      <c r="U2722" s="64">
        <f t="shared" si="256"/>
        <v>30.041666666671517</v>
      </c>
      <c r="V2722" s="13" t="str">
        <f t="shared" si="257"/>
        <v>funded</v>
      </c>
    </row>
    <row r="2723" spans="1:22" ht="48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8316</v>
      </c>
      <c r="R2723" t="s">
        <v>8346</v>
      </c>
      <c r="S2723" s="14">
        <f t="shared" si="254"/>
        <v>41493.543958333335</v>
      </c>
      <c r="T2723" s="14">
        <f t="shared" si="255"/>
        <v>41523.791666666664</v>
      </c>
      <c r="U2723" s="64">
        <f t="shared" si="256"/>
        <v>30.247708333328774</v>
      </c>
      <c r="V2723" s="13" t="str">
        <f t="shared" si="257"/>
        <v>funded</v>
      </c>
    </row>
    <row r="2724" spans="1:22" ht="48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8316</v>
      </c>
      <c r="R2724" t="s">
        <v>8346</v>
      </c>
      <c r="S2724" s="14">
        <f t="shared" si="254"/>
        <v>42704.857094907406</v>
      </c>
      <c r="T2724" s="14">
        <f t="shared" si="255"/>
        <v>42764.857094907406</v>
      </c>
      <c r="U2724" s="64">
        <f t="shared" si="256"/>
        <v>60</v>
      </c>
      <c r="V2724" s="13" t="str">
        <f t="shared" si="257"/>
        <v>funded</v>
      </c>
    </row>
    <row r="2725" spans="1:22" ht="48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8316</v>
      </c>
      <c r="R2725" t="s">
        <v>8346</v>
      </c>
      <c r="S2725" s="14">
        <f t="shared" si="254"/>
        <v>41944.83898148148</v>
      </c>
      <c r="T2725" s="14">
        <f t="shared" si="255"/>
        <v>42004.880648148144</v>
      </c>
      <c r="U2725" s="64">
        <f t="shared" si="256"/>
        <v>60.041666666664241</v>
      </c>
      <c r="V2725" s="13" t="str">
        <f t="shared" si="257"/>
        <v>funded</v>
      </c>
    </row>
    <row r="2726" spans="1:22" ht="48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8316</v>
      </c>
      <c r="R2726" t="s">
        <v>8346</v>
      </c>
      <c r="S2726" s="14">
        <f t="shared" si="254"/>
        <v>42199.32707175926</v>
      </c>
      <c r="T2726" s="14">
        <f t="shared" si="255"/>
        <v>42231.32707175926</v>
      </c>
      <c r="U2726" s="64">
        <f t="shared" si="256"/>
        <v>32</v>
      </c>
      <c r="V2726" s="13" t="str">
        <f t="shared" si="257"/>
        <v>funded</v>
      </c>
    </row>
    <row r="2727" spans="1:22" ht="3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8316</v>
      </c>
      <c r="R2727" t="s">
        <v>8346</v>
      </c>
      <c r="S2727" s="14">
        <f t="shared" si="254"/>
        <v>42745.744618055556</v>
      </c>
      <c r="T2727" s="14">
        <f t="shared" si="255"/>
        <v>42795.744618055556</v>
      </c>
      <c r="U2727" s="64">
        <f t="shared" si="256"/>
        <v>50</v>
      </c>
      <c r="V2727" s="13" t="str">
        <f t="shared" si="257"/>
        <v>funded</v>
      </c>
    </row>
    <row r="2728" spans="1:22" ht="16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8316</v>
      </c>
      <c r="R2728" t="s">
        <v>8346</v>
      </c>
      <c r="S2728" s="14">
        <f t="shared" si="254"/>
        <v>42452.579988425925</v>
      </c>
      <c r="T2728" s="14">
        <f t="shared" si="255"/>
        <v>42482.579988425925</v>
      </c>
      <c r="U2728" s="64">
        <f t="shared" si="256"/>
        <v>30</v>
      </c>
      <c r="V2728" s="13" t="str">
        <f t="shared" si="257"/>
        <v>funded</v>
      </c>
    </row>
    <row r="2729" spans="1:22" ht="48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8316</v>
      </c>
      <c r="R2729" t="s">
        <v>8346</v>
      </c>
      <c r="S2729" s="14">
        <f t="shared" si="254"/>
        <v>42198.676655092597</v>
      </c>
      <c r="T2729" s="14">
        <f t="shared" si="255"/>
        <v>42223.676655092597</v>
      </c>
      <c r="U2729" s="64">
        <f t="shared" si="256"/>
        <v>25</v>
      </c>
      <c r="V2729" s="13" t="str">
        <f t="shared" si="257"/>
        <v>funded</v>
      </c>
    </row>
    <row r="2730" spans="1:22" ht="3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8316</v>
      </c>
      <c r="R2730" t="s">
        <v>8346</v>
      </c>
      <c r="S2730" s="14">
        <f t="shared" si="254"/>
        <v>42333.59993055556</v>
      </c>
      <c r="T2730" s="14">
        <f t="shared" si="255"/>
        <v>42368.59993055556</v>
      </c>
      <c r="U2730" s="64">
        <f t="shared" si="256"/>
        <v>35</v>
      </c>
      <c r="V2730" s="13" t="str">
        <f t="shared" si="257"/>
        <v>funded</v>
      </c>
    </row>
    <row r="2731" spans="1:22" ht="3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8316</v>
      </c>
      <c r="R2731" t="s">
        <v>8346</v>
      </c>
      <c r="S2731" s="14">
        <f t="shared" si="254"/>
        <v>42095.240706018521</v>
      </c>
      <c r="T2731" s="14">
        <f t="shared" si="255"/>
        <v>42125.240706018521</v>
      </c>
      <c r="U2731" s="64">
        <f t="shared" si="256"/>
        <v>30</v>
      </c>
      <c r="V2731" s="13" t="str">
        <f t="shared" si="257"/>
        <v>funded</v>
      </c>
    </row>
    <row r="2732" spans="1:22" ht="3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8316</v>
      </c>
      <c r="R2732" t="s">
        <v>8346</v>
      </c>
      <c r="S2732" s="14">
        <f t="shared" si="254"/>
        <v>41351.541377314818</v>
      </c>
      <c r="T2732" s="14">
        <f t="shared" si="255"/>
        <v>41386.541377314818</v>
      </c>
      <c r="U2732" s="64">
        <f t="shared" si="256"/>
        <v>35</v>
      </c>
      <c r="V2732" s="13" t="str">
        <f t="shared" si="257"/>
        <v>funded</v>
      </c>
    </row>
    <row r="2733" spans="1:22" ht="48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8316</v>
      </c>
      <c r="R2733" t="s">
        <v>8346</v>
      </c>
      <c r="S2733" s="14">
        <f t="shared" si="254"/>
        <v>41872.525717592594</v>
      </c>
      <c r="T2733" s="14">
        <f t="shared" si="255"/>
        <v>41930.166666666664</v>
      </c>
      <c r="U2733" s="64">
        <f t="shared" si="256"/>
        <v>57.640949074069795</v>
      </c>
      <c r="V2733" s="13" t="str">
        <f t="shared" si="257"/>
        <v>funded</v>
      </c>
    </row>
    <row r="2734" spans="1:22" ht="48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8316</v>
      </c>
      <c r="R2734" t="s">
        <v>8346</v>
      </c>
      <c r="S2734" s="14">
        <f t="shared" si="254"/>
        <v>41389.808194444442</v>
      </c>
      <c r="T2734" s="14">
        <f t="shared" si="255"/>
        <v>41422</v>
      </c>
      <c r="U2734" s="64">
        <f t="shared" si="256"/>
        <v>32.191805555557949</v>
      </c>
      <c r="V2734" s="13" t="str">
        <f t="shared" si="257"/>
        <v>funded</v>
      </c>
    </row>
    <row r="2735" spans="1:22" ht="48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8316</v>
      </c>
      <c r="R2735" t="s">
        <v>8346</v>
      </c>
      <c r="S2735" s="14">
        <f t="shared" si="254"/>
        <v>42044.272847222222</v>
      </c>
      <c r="T2735" s="14">
        <f t="shared" si="255"/>
        <v>42104.231180555551</v>
      </c>
      <c r="U2735" s="64">
        <f t="shared" si="256"/>
        <v>59.958333333328483</v>
      </c>
      <c r="V2735" s="13" t="str">
        <f t="shared" si="257"/>
        <v>funded</v>
      </c>
    </row>
    <row r="2736" spans="1:22" ht="48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8316</v>
      </c>
      <c r="R2736" t="s">
        <v>8346</v>
      </c>
      <c r="S2736" s="14">
        <f t="shared" si="254"/>
        <v>42626.668888888889</v>
      </c>
      <c r="T2736" s="14">
        <f t="shared" si="255"/>
        <v>42656.915972222225</v>
      </c>
      <c r="U2736" s="64">
        <f t="shared" si="256"/>
        <v>30.247083333335468</v>
      </c>
      <c r="V2736" s="13" t="str">
        <f t="shared" si="257"/>
        <v>funded</v>
      </c>
    </row>
    <row r="2737" spans="1:22" ht="48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8316</v>
      </c>
      <c r="R2737" t="s">
        <v>8346</v>
      </c>
      <c r="S2737" s="14">
        <f t="shared" si="254"/>
        <v>41316.120949074073</v>
      </c>
      <c r="T2737" s="14">
        <f t="shared" si="255"/>
        <v>41346.833333333336</v>
      </c>
      <c r="U2737" s="64">
        <f t="shared" si="256"/>
        <v>30.712384259262762</v>
      </c>
      <c r="V2737" s="13" t="str">
        <f t="shared" si="257"/>
        <v>funded</v>
      </c>
    </row>
    <row r="2738" spans="1:22" ht="6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8316</v>
      </c>
      <c r="R2738" t="s">
        <v>8346</v>
      </c>
      <c r="S2738" s="14">
        <f t="shared" si="254"/>
        <v>41722.666354166664</v>
      </c>
      <c r="T2738" s="14">
        <f t="shared" si="255"/>
        <v>41752.666354166664</v>
      </c>
      <c r="U2738" s="64">
        <f t="shared" si="256"/>
        <v>30</v>
      </c>
      <c r="V2738" s="13" t="str">
        <f t="shared" si="257"/>
        <v>funded</v>
      </c>
    </row>
    <row r="2739" spans="1:22" ht="48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8316</v>
      </c>
      <c r="R2739" t="s">
        <v>8346</v>
      </c>
      <c r="S2739" s="14">
        <f t="shared" si="254"/>
        <v>41611.917673611111</v>
      </c>
      <c r="T2739" s="14">
        <f t="shared" si="255"/>
        <v>41654.791666666664</v>
      </c>
      <c r="U2739" s="64">
        <f t="shared" si="256"/>
        <v>42.873993055553001</v>
      </c>
      <c r="V2739" s="13" t="str">
        <f t="shared" si="257"/>
        <v>funded</v>
      </c>
    </row>
    <row r="2740" spans="1:22" ht="48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8316</v>
      </c>
      <c r="R2740" t="s">
        <v>8346</v>
      </c>
      <c r="S2740" s="14">
        <f t="shared" si="254"/>
        <v>42620.143564814818</v>
      </c>
      <c r="T2740" s="14">
        <f t="shared" si="255"/>
        <v>42680.143564814818</v>
      </c>
      <c r="U2740" s="64">
        <f t="shared" si="256"/>
        <v>60</v>
      </c>
      <c r="V2740" s="13" t="str">
        <f t="shared" si="257"/>
        <v>funded</v>
      </c>
    </row>
    <row r="2741" spans="1:22" ht="48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8316</v>
      </c>
      <c r="R2741" t="s">
        <v>8346</v>
      </c>
      <c r="S2741" s="14">
        <f t="shared" si="254"/>
        <v>41719.887928240743</v>
      </c>
      <c r="T2741" s="14">
        <f t="shared" si="255"/>
        <v>41764.887928240743</v>
      </c>
      <c r="U2741" s="64">
        <f t="shared" si="256"/>
        <v>45</v>
      </c>
      <c r="V2741" s="13" t="str">
        <f t="shared" si="257"/>
        <v>funded</v>
      </c>
    </row>
    <row r="2742" spans="1:22" ht="3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8316</v>
      </c>
      <c r="R2742" t="s">
        <v>8346</v>
      </c>
      <c r="S2742" s="14">
        <f t="shared" si="254"/>
        <v>42045.031851851847</v>
      </c>
      <c r="T2742" s="14">
        <f t="shared" si="255"/>
        <v>42074.99018518519</v>
      </c>
      <c r="U2742" s="64">
        <f t="shared" si="256"/>
        <v>29.958333333343035</v>
      </c>
      <c r="V2742" s="13" t="str">
        <f t="shared" si="257"/>
        <v>funded</v>
      </c>
    </row>
    <row r="2743" spans="1:22" ht="3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0" t="s">
        <v>8319</v>
      </c>
      <c r="R2743" t="s">
        <v>8355</v>
      </c>
      <c r="S2743" s="14">
        <f t="shared" si="254"/>
        <v>41911.657430555555</v>
      </c>
      <c r="T2743" s="14">
        <f t="shared" si="255"/>
        <v>41932.088194444441</v>
      </c>
      <c r="U2743" s="64">
        <f t="shared" si="256"/>
        <v>20.430763888885849</v>
      </c>
      <c r="V2743" s="13" t="str">
        <f t="shared" si="257"/>
        <v>underfunded</v>
      </c>
    </row>
    <row r="2744" spans="1:22" ht="48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8319</v>
      </c>
      <c r="R2744" t="s">
        <v>8355</v>
      </c>
      <c r="S2744" s="14">
        <f t="shared" si="254"/>
        <v>41030.719756944447</v>
      </c>
      <c r="T2744" s="14">
        <f t="shared" si="255"/>
        <v>41044.719756944447</v>
      </c>
      <c r="U2744" s="64">
        <f t="shared" si="256"/>
        <v>14</v>
      </c>
      <c r="V2744" s="13" t="str">
        <f t="shared" si="257"/>
        <v>underfunded</v>
      </c>
    </row>
    <row r="2745" spans="1:22" ht="6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0" t="s">
        <v>8319</v>
      </c>
      <c r="R2745" t="s">
        <v>8355</v>
      </c>
      <c r="S2745" s="14">
        <f t="shared" si="254"/>
        <v>42632.328784722224</v>
      </c>
      <c r="T2745" s="14">
        <f t="shared" si="255"/>
        <v>42662.328784722224</v>
      </c>
      <c r="U2745" s="64">
        <f t="shared" si="256"/>
        <v>30</v>
      </c>
      <c r="V2745" s="13" t="str">
        <f t="shared" si="257"/>
        <v>underfunded</v>
      </c>
    </row>
    <row r="2746" spans="1:22" ht="48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8319</v>
      </c>
      <c r="R2746" t="s">
        <v>8355</v>
      </c>
      <c r="S2746" s="14">
        <f t="shared" si="254"/>
        <v>40938.062476851854</v>
      </c>
      <c r="T2746" s="14">
        <f t="shared" si="255"/>
        <v>40968.062476851854</v>
      </c>
      <c r="U2746" s="64">
        <f t="shared" si="256"/>
        <v>30</v>
      </c>
      <c r="V2746" s="13" t="str">
        <f t="shared" si="257"/>
        <v>underfunded</v>
      </c>
    </row>
    <row r="2747" spans="1:22" ht="48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8319</v>
      </c>
      <c r="R2747" t="s">
        <v>8355</v>
      </c>
      <c r="S2747" s="14">
        <f t="shared" si="254"/>
        <v>41044.988055555557</v>
      </c>
      <c r="T2747" s="14">
        <f t="shared" si="255"/>
        <v>41104.988055555557</v>
      </c>
      <c r="U2747" s="64">
        <f t="shared" si="256"/>
        <v>60</v>
      </c>
      <c r="V2747" s="13" t="str">
        <f t="shared" si="257"/>
        <v>underfunded</v>
      </c>
    </row>
    <row r="2748" spans="1:22" ht="48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8319</v>
      </c>
      <c r="R2748" t="s">
        <v>8355</v>
      </c>
      <c r="S2748" s="14">
        <f t="shared" si="254"/>
        <v>41850.781377314815</v>
      </c>
      <c r="T2748" s="14">
        <f t="shared" si="255"/>
        <v>41880.781377314815</v>
      </c>
      <c r="U2748" s="64">
        <f t="shared" si="256"/>
        <v>30</v>
      </c>
      <c r="V2748" s="13" t="str">
        <f t="shared" si="257"/>
        <v>underfunded</v>
      </c>
    </row>
    <row r="2749" spans="1:22" ht="48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8319</v>
      </c>
      <c r="R2749" t="s">
        <v>8355</v>
      </c>
      <c r="S2749" s="14">
        <f t="shared" si="254"/>
        <v>41044.64811342593</v>
      </c>
      <c r="T2749" s="14">
        <f t="shared" si="255"/>
        <v>41076.131944444445</v>
      </c>
      <c r="U2749" s="64">
        <f t="shared" si="256"/>
        <v>31.483831018515048</v>
      </c>
      <c r="V2749" s="13" t="str">
        <f t="shared" si="257"/>
        <v>underfunded</v>
      </c>
    </row>
    <row r="2750" spans="1:22" ht="3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8319</v>
      </c>
      <c r="R2750" t="s">
        <v>8355</v>
      </c>
      <c r="S2750" s="14">
        <f t="shared" si="254"/>
        <v>42585.7106712963</v>
      </c>
      <c r="T2750" s="14">
        <f t="shared" si="255"/>
        <v>42615.7106712963</v>
      </c>
      <c r="U2750" s="64">
        <f t="shared" si="256"/>
        <v>30</v>
      </c>
      <c r="V2750" s="13" t="str">
        <f t="shared" si="257"/>
        <v>underfunded</v>
      </c>
    </row>
    <row r="2751" spans="1:22" ht="3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8319</v>
      </c>
      <c r="R2751" t="s">
        <v>8355</v>
      </c>
      <c r="S2751" s="14">
        <f t="shared" si="254"/>
        <v>42068.799039351856</v>
      </c>
      <c r="T2751" s="14">
        <f t="shared" si="255"/>
        <v>42098.757372685184</v>
      </c>
      <c r="U2751" s="64">
        <f t="shared" si="256"/>
        <v>29.958333333328483</v>
      </c>
      <c r="V2751" s="13" t="str">
        <f t="shared" si="257"/>
        <v>underfunded</v>
      </c>
    </row>
    <row r="2752" spans="1:22" ht="48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0" t="s">
        <v>8319</v>
      </c>
      <c r="R2752" t="s">
        <v>8355</v>
      </c>
      <c r="S2752" s="14">
        <f t="shared" si="254"/>
        <v>41078.899826388886</v>
      </c>
      <c r="T2752" s="14">
        <f t="shared" si="255"/>
        <v>41090.833333333336</v>
      </c>
      <c r="U2752" s="64">
        <f t="shared" si="256"/>
        <v>11.933506944449618</v>
      </c>
      <c r="V2752" s="13" t="str">
        <f t="shared" si="257"/>
        <v>underfunded</v>
      </c>
    </row>
    <row r="2753" spans="1:22" ht="48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0" t="s">
        <v>8319</v>
      </c>
      <c r="R2753" t="s">
        <v>8355</v>
      </c>
      <c r="S2753" s="14">
        <f t="shared" si="254"/>
        <v>41747.887060185189</v>
      </c>
      <c r="T2753" s="14">
        <f t="shared" si="255"/>
        <v>41807.887060185189</v>
      </c>
      <c r="U2753" s="64">
        <f t="shared" si="256"/>
        <v>60</v>
      </c>
      <c r="V2753" s="13" t="str">
        <f t="shared" si="257"/>
        <v>underfunded</v>
      </c>
    </row>
    <row r="2754" spans="1:22" ht="48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>
        <f t="shared" si="253"/>
        <v>39.29</v>
      </c>
      <c r="Q2754" s="10" t="s">
        <v>8319</v>
      </c>
      <c r="R2754" t="s">
        <v>8355</v>
      </c>
      <c r="S2754" s="14">
        <f t="shared" si="254"/>
        <v>40855.765092592592</v>
      </c>
      <c r="T2754" s="14">
        <f t="shared" si="255"/>
        <v>40895.765092592592</v>
      </c>
      <c r="U2754" s="64">
        <f t="shared" si="256"/>
        <v>40</v>
      </c>
      <c r="V2754" s="13" t="str">
        <f t="shared" si="257"/>
        <v>underfunded</v>
      </c>
    </row>
    <row r="2755" spans="1:22" ht="48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ROUND(E2755/D2755*100,0)</f>
        <v>19</v>
      </c>
      <c r="P2755">
        <f t="shared" ref="P2755:P2818" si="259">IFERROR(ROUND(E2755/L2755,2), 0)</f>
        <v>47.5</v>
      </c>
      <c r="Q2755" s="10" t="s">
        <v>8319</v>
      </c>
      <c r="R2755" t="s">
        <v>8355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 s="64">
        <f t="shared" ref="U2755:V2818" si="262">T2755-S2755</f>
        <v>30</v>
      </c>
      <c r="V2755" s="13" t="str">
        <f t="shared" ref="V2755:V2818" si="263">IF(E2755&gt;=D2755, "funded", "underfunded")</f>
        <v>underfunded</v>
      </c>
    </row>
    <row r="2756" spans="1:22" ht="48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0" t="s">
        <v>8319</v>
      </c>
      <c r="R2756" t="s">
        <v>8355</v>
      </c>
      <c r="S2756" s="14">
        <f t="shared" si="260"/>
        <v>41863.636006944449</v>
      </c>
      <c r="T2756" s="14">
        <f t="shared" si="261"/>
        <v>41893.636006944449</v>
      </c>
      <c r="U2756" s="64">
        <f t="shared" si="262"/>
        <v>30</v>
      </c>
      <c r="V2756" s="13" t="str">
        <f t="shared" si="263"/>
        <v>underfunded</v>
      </c>
    </row>
    <row r="2757" spans="1:22" ht="3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8319</v>
      </c>
      <c r="R2757" t="s">
        <v>8355</v>
      </c>
      <c r="S2757" s="14">
        <f t="shared" si="260"/>
        <v>42072.790821759263</v>
      </c>
      <c r="T2757" s="14">
        <f t="shared" si="261"/>
        <v>42102.790821759263</v>
      </c>
      <c r="U2757" s="64">
        <f t="shared" si="262"/>
        <v>30</v>
      </c>
      <c r="V2757" s="13" t="str">
        <f t="shared" si="263"/>
        <v>underfunded</v>
      </c>
    </row>
    <row r="2758" spans="1:22" ht="48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8319</v>
      </c>
      <c r="R2758" t="s">
        <v>8355</v>
      </c>
      <c r="S2758" s="14">
        <f t="shared" si="260"/>
        <v>41620.90047453704</v>
      </c>
      <c r="T2758" s="14">
        <f t="shared" si="261"/>
        <v>41650.90047453704</v>
      </c>
      <c r="U2758" s="64">
        <f t="shared" si="262"/>
        <v>30</v>
      </c>
      <c r="V2758" s="13" t="str">
        <f t="shared" si="263"/>
        <v>underfunded</v>
      </c>
    </row>
    <row r="2759" spans="1:22" ht="3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8319</v>
      </c>
      <c r="R2759" t="s">
        <v>8355</v>
      </c>
      <c r="S2759" s="14">
        <f t="shared" si="260"/>
        <v>42573.65662037037</v>
      </c>
      <c r="T2759" s="14">
        <f t="shared" si="261"/>
        <v>42588.65662037037</v>
      </c>
      <c r="U2759" s="64">
        <f t="shared" si="262"/>
        <v>15</v>
      </c>
      <c r="V2759" s="13" t="str">
        <f t="shared" si="263"/>
        <v>underfunded</v>
      </c>
    </row>
    <row r="2760" spans="1:22" ht="48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8319</v>
      </c>
      <c r="R2760" t="s">
        <v>8355</v>
      </c>
      <c r="S2760" s="14">
        <f t="shared" si="260"/>
        <v>42639.441932870366</v>
      </c>
      <c r="T2760" s="14">
        <f t="shared" si="261"/>
        <v>42653.441932870366</v>
      </c>
      <c r="U2760" s="64">
        <f t="shared" si="262"/>
        <v>14</v>
      </c>
      <c r="V2760" s="13" t="str">
        <f t="shared" si="263"/>
        <v>underfunded</v>
      </c>
    </row>
    <row r="2761" spans="1:22" ht="48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8319</v>
      </c>
      <c r="R2761" t="s">
        <v>8355</v>
      </c>
      <c r="S2761" s="14">
        <f t="shared" si="260"/>
        <v>42524.36650462963</v>
      </c>
      <c r="T2761" s="14">
        <f t="shared" si="261"/>
        <v>42567.36650462963</v>
      </c>
      <c r="U2761" s="64">
        <f t="shared" si="262"/>
        <v>43</v>
      </c>
      <c r="V2761" s="13" t="str">
        <f t="shared" si="263"/>
        <v>underfunded</v>
      </c>
    </row>
    <row r="2762" spans="1:22" ht="48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0" t="s">
        <v>8319</v>
      </c>
      <c r="R2762" t="s">
        <v>8355</v>
      </c>
      <c r="S2762" s="14">
        <f t="shared" si="260"/>
        <v>41415.461319444446</v>
      </c>
      <c r="T2762" s="14">
        <f t="shared" si="261"/>
        <v>41445.461319444446</v>
      </c>
      <c r="U2762" s="64">
        <f t="shared" si="262"/>
        <v>30</v>
      </c>
      <c r="V2762" s="13" t="str">
        <f t="shared" si="263"/>
        <v>underfunded</v>
      </c>
    </row>
    <row r="2763" spans="1:22" ht="3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8319</v>
      </c>
      <c r="R2763" t="s">
        <v>8355</v>
      </c>
      <c r="S2763" s="14">
        <f t="shared" si="260"/>
        <v>41247.063576388886</v>
      </c>
      <c r="T2763" s="14">
        <f t="shared" si="261"/>
        <v>41277.063576388886</v>
      </c>
      <c r="U2763" s="64">
        <f t="shared" si="262"/>
        <v>30</v>
      </c>
      <c r="V2763" s="13" t="str">
        <f t="shared" si="263"/>
        <v>underfunded</v>
      </c>
    </row>
    <row r="2764" spans="1:22" ht="48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8319</v>
      </c>
      <c r="R2764" t="s">
        <v>8355</v>
      </c>
      <c r="S2764" s="14">
        <f t="shared" si="260"/>
        <v>40927.036979166667</v>
      </c>
      <c r="T2764" s="14">
        <f t="shared" si="261"/>
        <v>40986.995312500003</v>
      </c>
      <c r="U2764" s="64">
        <f t="shared" si="262"/>
        <v>59.958333333335759</v>
      </c>
      <c r="V2764" s="13" t="str">
        <f t="shared" si="263"/>
        <v>underfunded</v>
      </c>
    </row>
    <row r="2765" spans="1:22" ht="3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0" t="s">
        <v>8319</v>
      </c>
      <c r="R2765" t="s">
        <v>8355</v>
      </c>
      <c r="S2765" s="14">
        <f t="shared" si="260"/>
        <v>41373.579675925925</v>
      </c>
      <c r="T2765" s="14">
        <f t="shared" si="261"/>
        <v>41418.579675925925</v>
      </c>
      <c r="U2765" s="64">
        <f t="shared" si="262"/>
        <v>45</v>
      </c>
      <c r="V2765" s="13" t="str">
        <f t="shared" si="263"/>
        <v>underfunded</v>
      </c>
    </row>
    <row r="2766" spans="1:22" ht="48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8319</v>
      </c>
      <c r="R2766" t="s">
        <v>8355</v>
      </c>
      <c r="S2766" s="14">
        <f t="shared" si="260"/>
        <v>41030.292025462964</v>
      </c>
      <c r="T2766" s="14">
        <f t="shared" si="261"/>
        <v>41059.791666666664</v>
      </c>
      <c r="U2766" s="64">
        <f t="shared" si="262"/>
        <v>29.499641203699866</v>
      </c>
      <c r="V2766" s="13" t="str">
        <f t="shared" si="263"/>
        <v>underfunded</v>
      </c>
    </row>
    <row r="2767" spans="1:22" ht="48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0" t="s">
        <v>8319</v>
      </c>
      <c r="R2767" t="s">
        <v>8355</v>
      </c>
      <c r="S2767" s="14">
        <f t="shared" si="260"/>
        <v>41194.579027777778</v>
      </c>
      <c r="T2767" s="14">
        <f t="shared" si="261"/>
        <v>41210.579027777778</v>
      </c>
      <c r="U2767" s="64">
        <f t="shared" si="262"/>
        <v>16</v>
      </c>
      <c r="V2767" s="13" t="str">
        <f t="shared" si="263"/>
        <v>underfunded</v>
      </c>
    </row>
    <row r="2768" spans="1:22" ht="48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8319</v>
      </c>
      <c r="R2768" t="s">
        <v>8355</v>
      </c>
      <c r="S2768" s="14">
        <f t="shared" si="260"/>
        <v>40736.668032407404</v>
      </c>
      <c r="T2768" s="14">
        <f t="shared" si="261"/>
        <v>40766.668032407404</v>
      </c>
      <c r="U2768" s="64">
        <f t="shared" si="262"/>
        <v>30</v>
      </c>
      <c r="V2768" s="13" t="str">
        <f t="shared" si="263"/>
        <v>underfunded</v>
      </c>
    </row>
    <row r="2769" spans="1:22" ht="48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8319</v>
      </c>
      <c r="R2769" t="s">
        <v>8355</v>
      </c>
      <c r="S2769" s="14">
        <f t="shared" si="260"/>
        <v>42172.958912037036</v>
      </c>
      <c r="T2769" s="14">
        <f t="shared" si="261"/>
        <v>42232.958912037036</v>
      </c>
      <c r="U2769" s="64">
        <f t="shared" si="262"/>
        <v>60</v>
      </c>
      <c r="V2769" s="13" t="str">
        <f t="shared" si="263"/>
        <v>underfunded</v>
      </c>
    </row>
    <row r="2770" spans="1:22" ht="48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8319</v>
      </c>
      <c r="R2770" t="s">
        <v>8355</v>
      </c>
      <c r="S2770" s="14">
        <f t="shared" si="260"/>
        <v>40967.614849537036</v>
      </c>
      <c r="T2770" s="14">
        <f t="shared" si="261"/>
        <v>40997.573182870372</v>
      </c>
      <c r="U2770" s="64">
        <f t="shared" si="262"/>
        <v>29.958333333335759</v>
      </c>
      <c r="V2770" s="13" t="str">
        <f t="shared" si="263"/>
        <v>underfunded</v>
      </c>
    </row>
    <row r="2771" spans="1:22" ht="48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0" t="s">
        <v>8319</v>
      </c>
      <c r="R2771" t="s">
        <v>8355</v>
      </c>
      <c r="S2771" s="14">
        <f t="shared" si="260"/>
        <v>41745.826273148145</v>
      </c>
      <c r="T2771" s="14">
        <f t="shared" si="261"/>
        <v>41795.826273148145</v>
      </c>
      <c r="U2771" s="64">
        <f t="shared" si="262"/>
        <v>50</v>
      </c>
      <c r="V2771" s="13" t="str">
        <f t="shared" si="263"/>
        <v>underfunded</v>
      </c>
    </row>
    <row r="2772" spans="1:22" ht="48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8319</v>
      </c>
      <c r="R2772" t="s">
        <v>8355</v>
      </c>
      <c r="S2772" s="14">
        <f t="shared" si="260"/>
        <v>41686.705208333333</v>
      </c>
      <c r="T2772" s="14">
        <f t="shared" si="261"/>
        <v>41716.663541666669</v>
      </c>
      <c r="U2772" s="64">
        <f t="shared" si="262"/>
        <v>29.958333333335759</v>
      </c>
      <c r="V2772" s="13" t="str">
        <f t="shared" si="263"/>
        <v>underfunded</v>
      </c>
    </row>
    <row r="2773" spans="1:22" ht="48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0" t="s">
        <v>8319</v>
      </c>
      <c r="R2773" t="s">
        <v>8355</v>
      </c>
      <c r="S2773" s="14">
        <f t="shared" si="260"/>
        <v>41257.531712962962</v>
      </c>
      <c r="T2773" s="14">
        <f t="shared" si="261"/>
        <v>41306.708333333336</v>
      </c>
      <c r="U2773" s="64">
        <f t="shared" si="262"/>
        <v>49.176620370373712</v>
      </c>
      <c r="V2773" s="13" t="str">
        <f t="shared" si="263"/>
        <v>underfunded</v>
      </c>
    </row>
    <row r="2774" spans="1:22" ht="48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0" t="s">
        <v>8319</v>
      </c>
      <c r="R2774" t="s">
        <v>8355</v>
      </c>
      <c r="S2774" s="14">
        <f t="shared" si="260"/>
        <v>41537.869143518517</v>
      </c>
      <c r="T2774" s="14">
        <f t="shared" si="261"/>
        <v>41552.869143518517</v>
      </c>
      <c r="U2774" s="64">
        <f t="shared" si="262"/>
        <v>15</v>
      </c>
      <c r="V2774" s="13" t="str">
        <f t="shared" si="263"/>
        <v>underfunded</v>
      </c>
    </row>
    <row r="2775" spans="1:22" ht="48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0" t="s">
        <v>8319</v>
      </c>
      <c r="R2775" t="s">
        <v>8355</v>
      </c>
      <c r="S2775" s="14">
        <f t="shared" si="260"/>
        <v>42474.86482638889</v>
      </c>
      <c r="T2775" s="14">
        <f t="shared" si="261"/>
        <v>42484.86482638889</v>
      </c>
      <c r="U2775" s="64">
        <f t="shared" si="262"/>
        <v>10</v>
      </c>
      <c r="V2775" s="13" t="str">
        <f t="shared" si="263"/>
        <v>underfunded</v>
      </c>
    </row>
    <row r="2776" spans="1:22" ht="48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8319</v>
      </c>
      <c r="R2776" t="s">
        <v>8355</v>
      </c>
      <c r="S2776" s="14">
        <f t="shared" si="260"/>
        <v>41311.126481481479</v>
      </c>
      <c r="T2776" s="14">
        <f t="shared" si="261"/>
        <v>41341.126481481479</v>
      </c>
      <c r="U2776" s="64">
        <f t="shared" si="262"/>
        <v>30</v>
      </c>
      <c r="V2776" s="13" t="str">
        <f t="shared" si="263"/>
        <v>underfunded</v>
      </c>
    </row>
    <row r="2777" spans="1:22" ht="48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8319</v>
      </c>
      <c r="R2777" t="s">
        <v>8355</v>
      </c>
      <c r="S2777" s="14">
        <f t="shared" si="260"/>
        <v>40863.013356481482</v>
      </c>
      <c r="T2777" s="14">
        <f t="shared" si="261"/>
        <v>40893.013356481482</v>
      </c>
      <c r="U2777" s="64">
        <f t="shared" si="262"/>
        <v>30</v>
      </c>
      <c r="V2777" s="13" t="str">
        <f t="shared" si="263"/>
        <v>underfunded</v>
      </c>
    </row>
    <row r="2778" spans="1:22" ht="48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8319</v>
      </c>
      <c r="R2778" t="s">
        <v>8355</v>
      </c>
      <c r="S2778" s="14">
        <f t="shared" si="260"/>
        <v>42136.297175925924</v>
      </c>
      <c r="T2778" s="14">
        <f t="shared" si="261"/>
        <v>42167.297175925924</v>
      </c>
      <c r="U2778" s="64">
        <f t="shared" si="262"/>
        <v>31</v>
      </c>
      <c r="V2778" s="13" t="str">
        <f t="shared" si="263"/>
        <v>underfunded</v>
      </c>
    </row>
    <row r="2779" spans="1:22" ht="48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0" t="s">
        <v>8319</v>
      </c>
      <c r="R2779" t="s">
        <v>8355</v>
      </c>
      <c r="S2779" s="14">
        <f t="shared" si="260"/>
        <v>42172.669027777782</v>
      </c>
      <c r="T2779" s="14">
        <f t="shared" si="261"/>
        <v>42202.669027777782</v>
      </c>
      <c r="U2779" s="64">
        <f t="shared" si="262"/>
        <v>30</v>
      </c>
      <c r="V2779" s="13" t="str">
        <f t="shared" si="263"/>
        <v>underfunded</v>
      </c>
    </row>
    <row r="2780" spans="1:22" ht="6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8319</v>
      </c>
      <c r="R2780" t="s">
        <v>8355</v>
      </c>
      <c r="S2780" s="14">
        <f t="shared" si="260"/>
        <v>41846.978078703702</v>
      </c>
      <c r="T2780" s="14">
        <f t="shared" si="261"/>
        <v>41876.978078703702</v>
      </c>
      <c r="U2780" s="64">
        <f t="shared" si="262"/>
        <v>30</v>
      </c>
      <c r="V2780" s="13" t="str">
        <f t="shared" si="263"/>
        <v>underfunded</v>
      </c>
    </row>
    <row r="2781" spans="1:22" ht="48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8319</v>
      </c>
      <c r="R2781" t="s">
        <v>8355</v>
      </c>
      <c r="S2781" s="14">
        <f t="shared" si="260"/>
        <v>42300.585891203707</v>
      </c>
      <c r="T2781" s="14">
        <f t="shared" si="261"/>
        <v>42330.627557870372</v>
      </c>
      <c r="U2781" s="64">
        <f t="shared" si="262"/>
        <v>30.041666666664241</v>
      </c>
      <c r="V2781" s="13" t="str">
        <f t="shared" si="263"/>
        <v>underfunded</v>
      </c>
    </row>
    <row r="2782" spans="1:22" ht="3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0" t="s">
        <v>8319</v>
      </c>
      <c r="R2782" t="s">
        <v>8355</v>
      </c>
      <c r="S2782" s="14">
        <f t="shared" si="260"/>
        <v>42774.447777777779</v>
      </c>
      <c r="T2782" s="14">
        <f t="shared" si="261"/>
        <v>42804.447777777779</v>
      </c>
      <c r="U2782" s="64">
        <f t="shared" si="262"/>
        <v>30</v>
      </c>
      <c r="V2782" s="13" t="str">
        <f t="shared" si="263"/>
        <v>underfunded</v>
      </c>
    </row>
    <row r="2783" spans="1:22" ht="3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8314</v>
      </c>
      <c r="R2783" t="s">
        <v>8315</v>
      </c>
      <c r="S2783" s="14">
        <f t="shared" si="260"/>
        <v>42018.94159722222</v>
      </c>
      <c r="T2783" s="14">
        <f t="shared" si="261"/>
        <v>42047.291666666672</v>
      </c>
      <c r="U2783" s="64">
        <f t="shared" si="262"/>
        <v>28.350069444451947</v>
      </c>
      <c r="V2783" s="13" t="str">
        <f t="shared" si="263"/>
        <v>funded</v>
      </c>
    </row>
    <row r="2784" spans="1:22" ht="3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8314</v>
      </c>
      <c r="R2784" t="s">
        <v>8315</v>
      </c>
      <c r="S2784" s="14">
        <f t="shared" si="260"/>
        <v>42026.924976851849</v>
      </c>
      <c r="T2784" s="14">
        <f t="shared" si="261"/>
        <v>42052.207638888889</v>
      </c>
      <c r="U2784" s="64">
        <f t="shared" si="262"/>
        <v>25.282662037039699</v>
      </c>
      <c r="V2784" s="13" t="str">
        <f t="shared" si="263"/>
        <v>funded</v>
      </c>
    </row>
    <row r="2785" spans="1:22" ht="48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8314</v>
      </c>
      <c r="R2785" t="s">
        <v>8315</v>
      </c>
      <c r="S2785" s="14">
        <f t="shared" si="260"/>
        <v>42103.535254629634</v>
      </c>
      <c r="T2785" s="14">
        <f t="shared" si="261"/>
        <v>42117.535254629634</v>
      </c>
      <c r="U2785" s="64">
        <f t="shared" si="262"/>
        <v>14</v>
      </c>
      <c r="V2785" s="13" t="str">
        <f t="shared" si="263"/>
        <v>funded</v>
      </c>
    </row>
    <row r="2786" spans="1:22" ht="48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8314</v>
      </c>
      <c r="R2786" t="s">
        <v>8315</v>
      </c>
      <c r="S2786" s="14">
        <f t="shared" si="260"/>
        <v>41920.787534722222</v>
      </c>
      <c r="T2786" s="14">
        <f t="shared" si="261"/>
        <v>41941.787534722222</v>
      </c>
      <c r="U2786" s="64">
        <f t="shared" si="262"/>
        <v>21</v>
      </c>
      <c r="V2786" s="13" t="str">
        <f t="shared" si="263"/>
        <v>funded</v>
      </c>
    </row>
    <row r="2787" spans="1:22" ht="48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8314</v>
      </c>
      <c r="R2787" t="s">
        <v>8315</v>
      </c>
      <c r="S2787" s="14">
        <f t="shared" si="260"/>
        <v>42558.189432870371</v>
      </c>
      <c r="T2787" s="14">
        <f t="shared" si="261"/>
        <v>42587.875</v>
      </c>
      <c r="U2787" s="64">
        <f t="shared" si="262"/>
        <v>29.685567129628907</v>
      </c>
      <c r="V2787" s="13" t="str">
        <f t="shared" si="263"/>
        <v>funded</v>
      </c>
    </row>
    <row r="2788" spans="1:22" ht="3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8314</v>
      </c>
      <c r="R2788" t="s">
        <v>8315</v>
      </c>
      <c r="S2788" s="14">
        <f t="shared" si="260"/>
        <v>41815.569212962961</v>
      </c>
      <c r="T2788" s="14">
        <f t="shared" si="261"/>
        <v>41829.569212962961</v>
      </c>
      <c r="U2788" s="64">
        <f t="shared" si="262"/>
        <v>14</v>
      </c>
      <c r="V2788" s="13" t="str">
        <f t="shared" si="263"/>
        <v>funded</v>
      </c>
    </row>
    <row r="2789" spans="1:22" ht="48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8314</v>
      </c>
      <c r="R2789" t="s">
        <v>8315</v>
      </c>
      <c r="S2789" s="14">
        <f t="shared" si="260"/>
        <v>41808.198518518519</v>
      </c>
      <c r="T2789" s="14">
        <f t="shared" si="261"/>
        <v>41838.198518518519</v>
      </c>
      <c r="U2789" s="64">
        <f t="shared" si="262"/>
        <v>30</v>
      </c>
      <c r="V2789" s="13" t="str">
        <f t="shared" si="263"/>
        <v>funded</v>
      </c>
    </row>
    <row r="2790" spans="1:22" ht="3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8314</v>
      </c>
      <c r="R2790" t="s">
        <v>8315</v>
      </c>
      <c r="S2790" s="14">
        <f t="shared" si="260"/>
        <v>42550.701886574068</v>
      </c>
      <c r="T2790" s="14">
        <f t="shared" si="261"/>
        <v>42580.701886574068</v>
      </c>
      <c r="U2790" s="64">
        <f t="shared" si="262"/>
        <v>30</v>
      </c>
      <c r="V2790" s="13" t="str">
        <f t="shared" si="263"/>
        <v>funded</v>
      </c>
    </row>
    <row r="2791" spans="1:22" ht="3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8314</v>
      </c>
      <c r="R2791" t="s">
        <v>8315</v>
      </c>
      <c r="S2791" s="14">
        <f t="shared" si="260"/>
        <v>42056.013124999998</v>
      </c>
      <c r="T2791" s="14">
        <f t="shared" si="261"/>
        <v>42075.166666666672</v>
      </c>
      <c r="U2791" s="64">
        <f t="shared" si="262"/>
        <v>19.153541666673846</v>
      </c>
      <c r="V2791" s="13" t="str">
        <f t="shared" si="263"/>
        <v>funded</v>
      </c>
    </row>
    <row r="2792" spans="1:22" ht="48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8314</v>
      </c>
      <c r="R2792" t="s">
        <v>8315</v>
      </c>
      <c r="S2792" s="14">
        <f t="shared" si="260"/>
        <v>42016.938692129625</v>
      </c>
      <c r="T2792" s="14">
        <f t="shared" si="261"/>
        <v>42046.938692129625</v>
      </c>
      <c r="U2792" s="64">
        <f t="shared" si="262"/>
        <v>30</v>
      </c>
      <c r="V2792" s="13" t="str">
        <f t="shared" si="263"/>
        <v>funded</v>
      </c>
    </row>
    <row r="2793" spans="1:22" ht="48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8314</v>
      </c>
      <c r="R2793" t="s">
        <v>8315</v>
      </c>
      <c r="S2793" s="14">
        <f t="shared" si="260"/>
        <v>42591.899988425925</v>
      </c>
      <c r="T2793" s="14">
        <f t="shared" si="261"/>
        <v>42622.166666666672</v>
      </c>
      <c r="U2793" s="64">
        <f t="shared" si="262"/>
        <v>30.266678240746842</v>
      </c>
      <c r="V2793" s="13" t="str">
        <f t="shared" si="263"/>
        <v>funded</v>
      </c>
    </row>
    <row r="2794" spans="1:22" ht="48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8314</v>
      </c>
      <c r="R2794" t="s">
        <v>8315</v>
      </c>
      <c r="S2794" s="14">
        <f t="shared" si="260"/>
        <v>42183.231006944443</v>
      </c>
      <c r="T2794" s="14">
        <f t="shared" si="261"/>
        <v>42228.231006944443</v>
      </c>
      <c r="U2794" s="64">
        <f t="shared" si="262"/>
        <v>45</v>
      </c>
      <c r="V2794" s="13" t="str">
        <f t="shared" si="263"/>
        <v>funded</v>
      </c>
    </row>
    <row r="2795" spans="1:22" ht="6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8314</v>
      </c>
      <c r="R2795" t="s">
        <v>8315</v>
      </c>
      <c r="S2795" s="14">
        <f t="shared" si="260"/>
        <v>42176.419039351851</v>
      </c>
      <c r="T2795" s="14">
        <f t="shared" si="261"/>
        <v>42206.419039351851</v>
      </c>
      <c r="U2795" s="64">
        <f t="shared" si="262"/>
        <v>30</v>
      </c>
      <c r="V2795" s="13" t="str">
        <f t="shared" si="263"/>
        <v>funded</v>
      </c>
    </row>
    <row r="2796" spans="1:22" ht="48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8314</v>
      </c>
      <c r="R2796" t="s">
        <v>8315</v>
      </c>
      <c r="S2796" s="14">
        <f t="shared" si="260"/>
        <v>42416.691655092596</v>
      </c>
      <c r="T2796" s="14">
        <f t="shared" si="261"/>
        <v>42432.791666666672</v>
      </c>
      <c r="U2796" s="64">
        <f t="shared" si="262"/>
        <v>16.100011574075324</v>
      </c>
      <c r="V2796" s="13" t="str">
        <f t="shared" si="263"/>
        <v>funded</v>
      </c>
    </row>
    <row r="2797" spans="1:22" ht="48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8314</v>
      </c>
      <c r="R2797" t="s">
        <v>8315</v>
      </c>
      <c r="S2797" s="14">
        <f t="shared" si="260"/>
        <v>41780.525937500002</v>
      </c>
      <c r="T2797" s="14">
        <f t="shared" si="261"/>
        <v>41796.958333333336</v>
      </c>
      <c r="U2797" s="64">
        <f t="shared" si="262"/>
        <v>16.43239583333343</v>
      </c>
      <c r="V2797" s="13" t="str">
        <f t="shared" si="263"/>
        <v>funded</v>
      </c>
    </row>
    <row r="2798" spans="1:22" ht="48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8314</v>
      </c>
      <c r="R2798" t="s">
        <v>8315</v>
      </c>
      <c r="S2798" s="14">
        <f t="shared" si="260"/>
        <v>41795.528101851851</v>
      </c>
      <c r="T2798" s="14">
        <f t="shared" si="261"/>
        <v>41825.528101851851</v>
      </c>
      <c r="U2798" s="64">
        <f t="shared" si="262"/>
        <v>30</v>
      </c>
      <c r="V2798" s="13" t="str">
        <f t="shared" si="263"/>
        <v>funded</v>
      </c>
    </row>
    <row r="2799" spans="1:22" ht="48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8314</v>
      </c>
      <c r="R2799" t="s">
        <v>8315</v>
      </c>
      <c r="S2799" s="14">
        <f t="shared" si="260"/>
        <v>41798.94027777778</v>
      </c>
      <c r="T2799" s="14">
        <f t="shared" si="261"/>
        <v>41828.94027777778</v>
      </c>
      <c r="U2799" s="64">
        <f t="shared" si="262"/>
        <v>30</v>
      </c>
      <c r="V2799" s="13" t="str">
        <f t="shared" si="263"/>
        <v>funded</v>
      </c>
    </row>
    <row r="2800" spans="1:22" ht="48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8314</v>
      </c>
      <c r="R2800" t="s">
        <v>8315</v>
      </c>
      <c r="S2800" s="14">
        <f t="shared" si="260"/>
        <v>42201.675011574072</v>
      </c>
      <c r="T2800" s="14">
        <f t="shared" si="261"/>
        <v>42216.666666666672</v>
      </c>
      <c r="U2800" s="64">
        <f t="shared" si="262"/>
        <v>14.991655092599103</v>
      </c>
      <c r="V2800" s="13" t="str">
        <f t="shared" si="263"/>
        <v>funded</v>
      </c>
    </row>
    <row r="2801" spans="1:22" ht="48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8314</v>
      </c>
      <c r="R2801" t="s">
        <v>8315</v>
      </c>
      <c r="S2801" s="14">
        <f t="shared" si="260"/>
        <v>42507.264699074076</v>
      </c>
      <c r="T2801" s="14">
        <f t="shared" si="261"/>
        <v>42538.666666666672</v>
      </c>
      <c r="U2801" s="64">
        <f t="shared" si="262"/>
        <v>31.401967592595611</v>
      </c>
      <c r="V2801" s="13" t="str">
        <f t="shared" si="263"/>
        <v>funded</v>
      </c>
    </row>
    <row r="2802" spans="1:22" ht="48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8314</v>
      </c>
      <c r="R2802" t="s">
        <v>8315</v>
      </c>
      <c r="S2802" s="14">
        <f t="shared" si="260"/>
        <v>41948.552847222221</v>
      </c>
      <c r="T2802" s="14">
        <f t="shared" si="261"/>
        <v>42008.552847222221</v>
      </c>
      <c r="U2802" s="64">
        <f t="shared" si="262"/>
        <v>60</v>
      </c>
      <c r="V2802" s="13" t="str">
        <f t="shared" si="263"/>
        <v>funded</v>
      </c>
    </row>
    <row r="2803" spans="1:22" ht="48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8314</v>
      </c>
      <c r="R2803" t="s">
        <v>8315</v>
      </c>
      <c r="S2803" s="14">
        <f t="shared" si="260"/>
        <v>41900.243159722224</v>
      </c>
      <c r="T2803" s="14">
        <f t="shared" si="261"/>
        <v>41922.458333333336</v>
      </c>
      <c r="U2803" s="64">
        <f t="shared" si="262"/>
        <v>22.215173611111823</v>
      </c>
      <c r="V2803" s="13" t="str">
        <f t="shared" si="263"/>
        <v>funded</v>
      </c>
    </row>
    <row r="2804" spans="1:22" ht="48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8314</v>
      </c>
      <c r="R2804" t="s">
        <v>8315</v>
      </c>
      <c r="S2804" s="14">
        <f t="shared" si="260"/>
        <v>42192.64707175926</v>
      </c>
      <c r="T2804" s="14">
        <f t="shared" si="261"/>
        <v>42222.64707175926</v>
      </c>
      <c r="U2804" s="64">
        <f t="shared" si="262"/>
        <v>30</v>
      </c>
      <c r="V2804" s="13" t="str">
        <f t="shared" si="263"/>
        <v>funded</v>
      </c>
    </row>
    <row r="2805" spans="1:22" ht="48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8314</v>
      </c>
      <c r="R2805" t="s">
        <v>8315</v>
      </c>
      <c r="S2805" s="14">
        <f t="shared" si="260"/>
        <v>42158.065694444449</v>
      </c>
      <c r="T2805" s="14">
        <f t="shared" si="261"/>
        <v>42201</v>
      </c>
      <c r="U2805" s="64">
        <f t="shared" si="262"/>
        <v>42.934305555550964</v>
      </c>
      <c r="V2805" s="13" t="str">
        <f t="shared" si="263"/>
        <v>funded</v>
      </c>
    </row>
    <row r="2806" spans="1:22" ht="48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8314</v>
      </c>
      <c r="R2806" t="s">
        <v>8315</v>
      </c>
      <c r="S2806" s="14">
        <f t="shared" si="260"/>
        <v>41881.453587962962</v>
      </c>
      <c r="T2806" s="14">
        <f t="shared" si="261"/>
        <v>41911.453587962962</v>
      </c>
      <c r="U2806" s="64">
        <f t="shared" si="262"/>
        <v>30</v>
      </c>
      <c r="V2806" s="13" t="str">
        <f t="shared" si="263"/>
        <v>funded</v>
      </c>
    </row>
    <row r="2807" spans="1:22" ht="6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8314</v>
      </c>
      <c r="R2807" t="s">
        <v>8315</v>
      </c>
      <c r="S2807" s="14">
        <f t="shared" si="260"/>
        <v>42213.505474537036</v>
      </c>
      <c r="T2807" s="14">
        <f t="shared" si="261"/>
        <v>42238.505474537036</v>
      </c>
      <c r="U2807" s="64">
        <f t="shared" si="262"/>
        <v>25</v>
      </c>
      <c r="V2807" s="13" t="str">
        <f t="shared" si="263"/>
        <v>funded</v>
      </c>
    </row>
    <row r="2808" spans="1:22" ht="48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8314</v>
      </c>
      <c r="R2808" t="s">
        <v>8315</v>
      </c>
      <c r="S2808" s="14">
        <f t="shared" si="260"/>
        <v>42185.267245370371</v>
      </c>
      <c r="T2808" s="14">
        <f t="shared" si="261"/>
        <v>42221.458333333328</v>
      </c>
      <c r="U2808" s="64">
        <f t="shared" si="262"/>
        <v>36.191087962957681</v>
      </c>
      <c r="V2808" s="13" t="str">
        <f t="shared" si="263"/>
        <v>funded</v>
      </c>
    </row>
    <row r="2809" spans="1:22" ht="16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8314</v>
      </c>
      <c r="R2809" t="s">
        <v>8315</v>
      </c>
      <c r="S2809" s="14">
        <f t="shared" si="260"/>
        <v>42154.873124999998</v>
      </c>
      <c r="T2809" s="14">
        <f t="shared" si="261"/>
        <v>42184.873124999998</v>
      </c>
      <c r="U2809" s="64">
        <f t="shared" si="262"/>
        <v>30</v>
      </c>
      <c r="V2809" s="13" t="str">
        <f t="shared" si="263"/>
        <v>funded</v>
      </c>
    </row>
    <row r="2810" spans="1:22" ht="48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8314</v>
      </c>
      <c r="R2810" t="s">
        <v>8315</v>
      </c>
      <c r="S2810" s="14">
        <f t="shared" si="260"/>
        <v>42208.84646990741</v>
      </c>
      <c r="T2810" s="14">
        <f t="shared" si="261"/>
        <v>42238.84646990741</v>
      </c>
      <c r="U2810" s="64">
        <f t="shared" si="262"/>
        <v>30</v>
      </c>
      <c r="V2810" s="13" t="str">
        <f t="shared" si="263"/>
        <v>funded</v>
      </c>
    </row>
    <row r="2811" spans="1:22" ht="48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8314</v>
      </c>
      <c r="R2811" t="s">
        <v>8315</v>
      </c>
      <c r="S2811" s="14">
        <f t="shared" si="260"/>
        <v>42451.496817129635</v>
      </c>
      <c r="T2811" s="14">
        <f t="shared" si="261"/>
        <v>42459.610416666663</v>
      </c>
      <c r="U2811" s="64">
        <f t="shared" si="262"/>
        <v>8.1135995370277669</v>
      </c>
      <c r="V2811" s="13" t="str">
        <f t="shared" si="263"/>
        <v>funded</v>
      </c>
    </row>
    <row r="2812" spans="1:22" ht="48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8314</v>
      </c>
      <c r="R2812" t="s">
        <v>8315</v>
      </c>
      <c r="S2812" s="14">
        <f t="shared" si="260"/>
        <v>41759.13962962963</v>
      </c>
      <c r="T2812" s="14">
        <f t="shared" si="261"/>
        <v>41791.165972222225</v>
      </c>
      <c r="U2812" s="64">
        <f t="shared" si="262"/>
        <v>32.026342592595029</v>
      </c>
      <c r="V2812" s="13" t="str">
        <f t="shared" si="263"/>
        <v>funded</v>
      </c>
    </row>
    <row r="2813" spans="1:22" ht="48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8314</v>
      </c>
      <c r="R2813" t="s">
        <v>8315</v>
      </c>
      <c r="S2813" s="14">
        <f t="shared" si="260"/>
        <v>42028.496562500004</v>
      </c>
      <c r="T2813" s="14">
        <f t="shared" si="261"/>
        <v>42058.496562500004</v>
      </c>
      <c r="U2813" s="64">
        <f t="shared" si="262"/>
        <v>30</v>
      </c>
      <c r="V2813" s="13" t="str">
        <f t="shared" si="263"/>
        <v>funded</v>
      </c>
    </row>
    <row r="2814" spans="1:22" ht="48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8314</v>
      </c>
      <c r="R2814" t="s">
        <v>8315</v>
      </c>
      <c r="S2814" s="14">
        <f t="shared" si="260"/>
        <v>42054.74418981481</v>
      </c>
      <c r="T2814" s="14">
        <f t="shared" si="261"/>
        <v>42100.166666666672</v>
      </c>
      <c r="U2814" s="64">
        <f t="shared" si="262"/>
        <v>45.422476851861575</v>
      </c>
      <c r="V2814" s="13" t="str">
        <f t="shared" si="263"/>
        <v>funded</v>
      </c>
    </row>
    <row r="2815" spans="1:22" ht="48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8314</v>
      </c>
      <c r="R2815" t="s">
        <v>8315</v>
      </c>
      <c r="S2815" s="14">
        <f t="shared" si="260"/>
        <v>42693.742604166662</v>
      </c>
      <c r="T2815" s="14">
        <f t="shared" si="261"/>
        <v>42718.742604166662</v>
      </c>
      <c r="U2815" s="64">
        <f t="shared" si="262"/>
        <v>25</v>
      </c>
      <c r="V2815" s="13" t="str">
        <f t="shared" si="263"/>
        <v>funded</v>
      </c>
    </row>
    <row r="2816" spans="1:22" ht="48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8314</v>
      </c>
      <c r="R2816" t="s">
        <v>8315</v>
      </c>
      <c r="S2816" s="14">
        <f t="shared" si="260"/>
        <v>42103.399479166663</v>
      </c>
      <c r="T2816" s="14">
        <f t="shared" si="261"/>
        <v>42133.399479166663</v>
      </c>
      <c r="U2816" s="64">
        <f t="shared" si="262"/>
        <v>30</v>
      </c>
      <c r="V2816" s="13" t="str">
        <f t="shared" si="263"/>
        <v>funded</v>
      </c>
    </row>
    <row r="2817" spans="1:22" ht="48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8314</v>
      </c>
      <c r="R2817" t="s">
        <v>8315</v>
      </c>
      <c r="S2817" s="14">
        <f t="shared" si="260"/>
        <v>42559.776724537034</v>
      </c>
      <c r="T2817" s="14">
        <f t="shared" si="261"/>
        <v>42589.776724537034</v>
      </c>
      <c r="U2817" s="64">
        <f t="shared" si="262"/>
        <v>30</v>
      </c>
      <c r="V2817" s="13" t="str">
        <f t="shared" si="263"/>
        <v>funded</v>
      </c>
    </row>
    <row r="2818" spans="1:22" ht="48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>
        <f t="shared" si="259"/>
        <v>25.13</v>
      </c>
      <c r="Q2818" s="10" t="s">
        <v>8314</v>
      </c>
      <c r="R2818" t="s">
        <v>8315</v>
      </c>
      <c r="S2818" s="14">
        <f t="shared" si="260"/>
        <v>42188.467499999999</v>
      </c>
      <c r="T2818" s="14">
        <f t="shared" si="261"/>
        <v>42218.666666666672</v>
      </c>
      <c r="U2818" s="64">
        <f t="shared" si="262"/>
        <v>30.199166666672681</v>
      </c>
      <c r="V2818" s="13" t="str">
        <f t="shared" si="263"/>
        <v>funded</v>
      </c>
    </row>
    <row r="2819" spans="1:22" ht="48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ROUND(E2819/D2819*100,0)</f>
        <v>130</v>
      </c>
      <c r="P2819">
        <f t="shared" ref="P2819:P2882" si="265">IFERROR(ROUND(E2819/L2819,2), 0)</f>
        <v>23.64</v>
      </c>
      <c r="Q2819" s="10" t="s">
        <v>8314</v>
      </c>
      <c r="R2819" t="s">
        <v>8315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 s="64">
        <f t="shared" ref="U2819:V2882" si="268">T2819-S2819</f>
        <v>40</v>
      </c>
      <c r="V2819" s="13" t="str">
        <f t="shared" ref="V2819:V2882" si="269">IF(E2819&gt;=D2819, "funded", "underfunded")</f>
        <v>funded</v>
      </c>
    </row>
    <row r="2820" spans="1:22" ht="48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8314</v>
      </c>
      <c r="R2820" t="s">
        <v>8315</v>
      </c>
      <c r="S2820" s="14">
        <f t="shared" si="266"/>
        <v>42250.598217592589</v>
      </c>
      <c r="T2820" s="14">
        <f t="shared" si="267"/>
        <v>42270.598217592589</v>
      </c>
      <c r="U2820" s="64">
        <f t="shared" si="268"/>
        <v>20</v>
      </c>
      <c r="V2820" s="13" t="str">
        <f t="shared" si="269"/>
        <v>funded</v>
      </c>
    </row>
    <row r="2821" spans="1:22" ht="48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8314</v>
      </c>
      <c r="R2821" t="s">
        <v>8315</v>
      </c>
      <c r="S2821" s="14">
        <f t="shared" si="266"/>
        <v>42139.525567129633</v>
      </c>
      <c r="T2821" s="14">
        <f t="shared" si="267"/>
        <v>42169.525567129633</v>
      </c>
      <c r="U2821" s="64">
        <f t="shared" si="268"/>
        <v>30</v>
      </c>
      <c r="V2821" s="13" t="str">
        <f t="shared" si="269"/>
        <v>funded</v>
      </c>
    </row>
    <row r="2822" spans="1:22" ht="48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8314</v>
      </c>
      <c r="R2822" t="s">
        <v>8315</v>
      </c>
      <c r="S2822" s="14">
        <f t="shared" si="266"/>
        <v>42401.610983796301</v>
      </c>
      <c r="T2822" s="14">
        <f t="shared" si="267"/>
        <v>42426</v>
      </c>
      <c r="U2822" s="64">
        <f t="shared" si="268"/>
        <v>24.389016203698702</v>
      </c>
      <c r="V2822" s="13" t="str">
        <f t="shared" si="269"/>
        <v>funded</v>
      </c>
    </row>
    <row r="2823" spans="1:22" ht="4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8314</v>
      </c>
      <c r="R2823" t="s">
        <v>8315</v>
      </c>
      <c r="S2823" s="14">
        <f t="shared" si="266"/>
        <v>41875.922858796301</v>
      </c>
      <c r="T2823" s="14">
        <f t="shared" si="267"/>
        <v>41905.922858796301</v>
      </c>
      <c r="U2823" s="64">
        <f t="shared" si="268"/>
        <v>30</v>
      </c>
      <c r="V2823" s="13" t="str">
        <f t="shared" si="269"/>
        <v>funded</v>
      </c>
    </row>
    <row r="2824" spans="1:22" ht="48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8314</v>
      </c>
      <c r="R2824" t="s">
        <v>8315</v>
      </c>
      <c r="S2824" s="14">
        <f t="shared" si="266"/>
        <v>42060.683935185181</v>
      </c>
      <c r="T2824" s="14">
        <f t="shared" si="267"/>
        <v>42090.642268518524</v>
      </c>
      <c r="U2824" s="64">
        <f t="shared" si="268"/>
        <v>29.958333333343035</v>
      </c>
      <c r="V2824" s="13" t="str">
        <f t="shared" si="269"/>
        <v>funded</v>
      </c>
    </row>
    <row r="2825" spans="1:22" ht="48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8314</v>
      </c>
      <c r="R2825" t="s">
        <v>8315</v>
      </c>
      <c r="S2825" s="14">
        <f t="shared" si="266"/>
        <v>42067.011643518519</v>
      </c>
      <c r="T2825" s="14">
        <f t="shared" si="267"/>
        <v>42094.957638888889</v>
      </c>
      <c r="U2825" s="64">
        <f t="shared" si="268"/>
        <v>27.945995370369928</v>
      </c>
      <c r="V2825" s="13" t="str">
        <f t="shared" si="269"/>
        <v>funded</v>
      </c>
    </row>
    <row r="2826" spans="1:22" ht="3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8314</v>
      </c>
      <c r="R2826" t="s">
        <v>8315</v>
      </c>
      <c r="S2826" s="14">
        <f t="shared" si="266"/>
        <v>42136.270787037036</v>
      </c>
      <c r="T2826" s="14">
        <f t="shared" si="267"/>
        <v>42168.071527777778</v>
      </c>
      <c r="U2826" s="64">
        <f t="shared" si="268"/>
        <v>31.800740740742185</v>
      </c>
      <c r="V2826" s="13" t="str">
        <f t="shared" si="269"/>
        <v>funded</v>
      </c>
    </row>
    <row r="2827" spans="1:22" ht="48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8314</v>
      </c>
      <c r="R2827" t="s">
        <v>8315</v>
      </c>
      <c r="S2827" s="14">
        <f t="shared" si="266"/>
        <v>42312.792662037042</v>
      </c>
      <c r="T2827" s="14">
        <f t="shared" si="267"/>
        <v>42342.792662037042</v>
      </c>
      <c r="U2827" s="64">
        <f t="shared" si="268"/>
        <v>30</v>
      </c>
      <c r="V2827" s="13" t="str">
        <f t="shared" si="269"/>
        <v>funded</v>
      </c>
    </row>
    <row r="2828" spans="1:22" ht="48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8314</v>
      </c>
      <c r="R2828" t="s">
        <v>8315</v>
      </c>
      <c r="S2828" s="14">
        <f t="shared" si="266"/>
        <v>42171.034861111111</v>
      </c>
      <c r="T2828" s="14">
        <f t="shared" si="267"/>
        <v>42195.291666666672</v>
      </c>
      <c r="U2828" s="64">
        <f t="shared" si="268"/>
        <v>24.256805555560277</v>
      </c>
      <c r="V2828" s="13" t="str">
        <f t="shared" si="269"/>
        <v>funded</v>
      </c>
    </row>
    <row r="2829" spans="1:22" ht="48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8314</v>
      </c>
      <c r="R2829" t="s">
        <v>8315</v>
      </c>
      <c r="S2829" s="14">
        <f t="shared" si="266"/>
        <v>42494.683634259258</v>
      </c>
      <c r="T2829" s="14">
        <f t="shared" si="267"/>
        <v>42524.6875</v>
      </c>
      <c r="U2829" s="64">
        <f t="shared" si="268"/>
        <v>30.003865740742185</v>
      </c>
      <c r="V2829" s="13" t="str">
        <f t="shared" si="269"/>
        <v>funded</v>
      </c>
    </row>
    <row r="2830" spans="1:22" ht="48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8314</v>
      </c>
      <c r="R2830" t="s">
        <v>8315</v>
      </c>
      <c r="S2830" s="14">
        <f t="shared" si="266"/>
        <v>42254.264687499999</v>
      </c>
      <c r="T2830" s="14">
        <f t="shared" si="267"/>
        <v>42279.958333333328</v>
      </c>
      <c r="U2830" s="64">
        <f t="shared" si="268"/>
        <v>25.693645833329356</v>
      </c>
      <c r="V2830" s="13" t="str">
        <f t="shared" si="269"/>
        <v>funded</v>
      </c>
    </row>
    <row r="2831" spans="1:22" ht="48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8314</v>
      </c>
      <c r="R2831" t="s">
        <v>8315</v>
      </c>
      <c r="S2831" s="14">
        <f t="shared" si="266"/>
        <v>42495.434236111112</v>
      </c>
      <c r="T2831" s="14">
        <f t="shared" si="267"/>
        <v>42523.434236111112</v>
      </c>
      <c r="U2831" s="64">
        <f t="shared" si="268"/>
        <v>28</v>
      </c>
      <c r="V2831" s="13" t="str">
        <f t="shared" si="269"/>
        <v>funded</v>
      </c>
    </row>
    <row r="2832" spans="1:22" ht="3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8314</v>
      </c>
      <c r="R2832" t="s">
        <v>8315</v>
      </c>
      <c r="S2832" s="14">
        <f t="shared" si="266"/>
        <v>41758.839675925927</v>
      </c>
      <c r="T2832" s="14">
        <f t="shared" si="267"/>
        <v>41771.165972222225</v>
      </c>
      <c r="U2832" s="64">
        <f t="shared" si="268"/>
        <v>12.326296296298096</v>
      </c>
      <c r="V2832" s="13" t="str">
        <f t="shared" si="269"/>
        <v>funded</v>
      </c>
    </row>
    <row r="2833" spans="1:22" ht="3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8314</v>
      </c>
      <c r="R2833" t="s">
        <v>8315</v>
      </c>
      <c r="S2833" s="14">
        <f t="shared" si="266"/>
        <v>42171.824884259258</v>
      </c>
      <c r="T2833" s="14">
        <f t="shared" si="267"/>
        <v>42201.824884259258</v>
      </c>
      <c r="U2833" s="64">
        <f t="shared" si="268"/>
        <v>30</v>
      </c>
      <c r="V2833" s="13" t="str">
        <f t="shared" si="269"/>
        <v>funded</v>
      </c>
    </row>
    <row r="2834" spans="1:22" ht="48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8314</v>
      </c>
      <c r="R2834" t="s">
        <v>8315</v>
      </c>
      <c r="S2834" s="14">
        <f t="shared" si="266"/>
        <v>41938.709421296298</v>
      </c>
      <c r="T2834" s="14">
        <f t="shared" si="267"/>
        <v>41966.916666666672</v>
      </c>
      <c r="U2834" s="64">
        <f t="shared" si="268"/>
        <v>28.20724537037313</v>
      </c>
      <c r="V2834" s="13" t="str">
        <f t="shared" si="269"/>
        <v>funded</v>
      </c>
    </row>
    <row r="2835" spans="1:22" ht="16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8314</v>
      </c>
      <c r="R2835" t="s">
        <v>8315</v>
      </c>
      <c r="S2835" s="14">
        <f t="shared" si="266"/>
        <v>42268.127696759257</v>
      </c>
      <c r="T2835" s="14">
        <f t="shared" si="267"/>
        <v>42288.083333333328</v>
      </c>
      <c r="U2835" s="64">
        <f t="shared" si="268"/>
        <v>19.955636574071832</v>
      </c>
      <c r="V2835" s="13" t="str">
        <f t="shared" si="269"/>
        <v>funded</v>
      </c>
    </row>
    <row r="2836" spans="1:22" ht="48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8314</v>
      </c>
      <c r="R2836" t="s">
        <v>8315</v>
      </c>
      <c r="S2836" s="14">
        <f t="shared" si="266"/>
        <v>42019.959837962961</v>
      </c>
      <c r="T2836" s="14">
        <f t="shared" si="267"/>
        <v>42034.959837962961</v>
      </c>
      <c r="U2836" s="64">
        <f t="shared" si="268"/>
        <v>15</v>
      </c>
      <c r="V2836" s="13" t="str">
        <f t="shared" si="269"/>
        <v>funded</v>
      </c>
    </row>
    <row r="2837" spans="1:22" ht="48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8314</v>
      </c>
      <c r="R2837" t="s">
        <v>8315</v>
      </c>
      <c r="S2837" s="14">
        <f t="shared" si="266"/>
        <v>42313.703900462962</v>
      </c>
      <c r="T2837" s="14">
        <f t="shared" si="267"/>
        <v>42343</v>
      </c>
      <c r="U2837" s="64">
        <f t="shared" si="268"/>
        <v>29.296099537037662</v>
      </c>
      <c r="V2837" s="13" t="str">
        <f t="shared" si="269"/>
        <v>funded</v>
      </c>
    </row>
    <row r="2838" spans="1:22" ht="48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8314</v>
      </c>
      <c r="R2838" t="s">
        <v>8315</v>
      </c>
      <c r="S2838" s="14">
        <f t="shared" si="266"/>
        <v>42746.261782407411</v>
      </c>
      <c r="T2838" s="14">
        <f t="shared" si="267"/>
        <v>42784.207638888889</v>
      </c>
      <c r="U2838" s="64">
        <f t="shared" si="268"/>
        <v>37.945856481477676</v>
      </c>
      <c r="V2838" s="13" t="str">
        <f t="shared" si="269"/>
        <v>funded</v>
      </c>
    </row>
    <row r="2839" spans="1:22" ht="6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8314</v>
      </c>
      <c r="R2839" t="s">
        <v>8315</v>
      </c>
      <c r="S2839" s="14">
        <f t="shared" si="266"/>
        <v>42307.908379629633</v>
      </c>
      <c r="T2839" s="14">
        <f t="shared" si="267"/>
        <v>42347.950046296297</v>
      </c>
      <c r="U2839" s="64">
        <f t="shared" si="268"/>
        <v>40.041666666664241</v>
      </c>
      <c r="V2839" s="13" t="str">
        <f t="shared" si="269"/>
        <v>funded</v>
      </c>
    </row>
    <row r="2840" spans="1:22" ht="48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8314</v>
      </c>
      <c r="R2840" t="s">
        <v>8315</v>
      </c>
      <c r="S2840" s="14">
        <f t="shared" si="266"/>
        <v>41842.607592592591</v>
      </c>
      <c r="T2840" s="14">
        <f t="shared" si="267"/>
        <v>41864.916666666664</v>
      </c>
      <c r="U2840" s="64">
        <f t="shared" si="268"/>
        <v>22.309074074073578</v>
      </c>
      <c r="V2840" s="13" t="str">
        <f t="shared" si="269"/>
        <v>funded</v>
      </c>
    </row>
    <row r="2841" spans="1:22" ht="48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8314</v>
      </c>
      <c r="R2841" t="s">
        <v>8315</v>
      </c>
      <c r="S2841" s="14">
        <f t="shared" si="266"/>
        <v>41853.240208333329</v>
      </c>
      <c r="T2841" s="14">
        <f t="shared" si="267"/>
        <v>41876.207638888889</v>
      </c>
      <c r="U2841" s="64">
        <f t="shared" si="268"/>
        <v>22.967430555559986</v>
      </c>
      <c r="V2841" s="13" t="str">
        <f t="shared" si="269"/>
        <v>funded</v>
      </c>
    </row>
    <row r="2842" spans="1:22" ht="48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8314</v>
      </c>
      <c r="R2842" t="s">
        <v>8315</v>
      </c>
      <c r="S2842" s="14">
        <f t="shared" si="266"/>
        <v>42060.035636574074</v>
      </c>
      <c r="T2842" s="14">
        <f t="shared" si="267"/>
        <v>42081.708333333328</v>
      </c>
      <c r="U2842" s="64">
        <f t="shared" si="268"/>
        <v>21.672696759254904</v>
      </c>
      <c r="V2842" s="13" t="str">
        <f t="shared" si="269"/>
        <v>funded</v>
      </c>
    </row>
    <row r="2843" spans="1:22" ht="48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8314</v>
      </c>
      <c r="R2843" t="s">
        <v>8315</v>
      </c>
      <c r="S2843" s="14">
        <f t="shared" si="266"/>
        <v>42291.739548611105</v>
      </c>
      <c r="T2843" s="14">
        <f t="shared" si="267"/>
        <v>42351.781215277777</v>
      </c>
      <c r="U2843" s="64">
        <f t="shared" si="268"/>
        <v>60.041666666671517</v>
      </c>
      <c r="V2843" s="13" t="str">
        <f t="shared" si="269"/>
        <v>underfunded</v>
      </c>
    </row>
    <row r="2844" spans="1:22" ht="48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0" t="s">
        <v>8314</v>
      </c>
      <c r="R2844" t="s">
        <v>8315</v>
      </c>
      <c r="S2844" s="14">
        <f t="shared" si="266"/>
        <v>41784.952488425923</v>
      </c>
      <c r="T2844" s="14">
        <f t="shared" si="267"/>
        <v>41811.458333333336</v>
      </c>
      <c r="U2844" s="64">
        <f t="shared" si="268"/>
        <v>26.50584490741312</v>
      </c>
      <c r="V2844" s="13" t="str">
        <f t="shared" si="269"/>
        <v>underfunded</v>
      </c>
    </row>
    <row r="2845" spans="1:22" ht="48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0" t="s">
        <v>8314</v>
      </c>
      <c r="R2845" t="s">
        <v>8315</v>
      </c>
      <c r="S2845" s="14">
        <f t="shared" si="266"/>
        <v>42492.737847222219</v>
      </c>
      <c r="T2845" s="14">
        <f t="shared" si="267"/>
        <v>42534.166666666672</v>
      </c>
      <c r="U2845" s="64">
        <f t="shared" si="268"/>
        <v>41.428819444452529</v>
      </c>
      <c r="V2845" s="13" t="str">
        <f t="shared" si="269"/>
        <v>underfunded</v>
      </c>
    </row>
    <row r="2846" spans="1:22" ht="48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8314</v>
      </c>
      <c r="R2846" t="s">
        <v>8315</v>
      </c>
      <c r="S2846" s="14">
        <f t="shared" si="266"/>
        <v>42709.546064814815</v>
      </c>
      <c r="T2846" s="14">
        <f t="shared" si="267"/>
        <v>42739.546064814815</v>
      </c>
      <c r="U2846" s="64">
        <f t="shared" si="268"/>
        <v>30</v>
      </c>
      <c r="V2846" s="13" t="str">
        <f t="shared" si="269"/>
        <v>underfunded</v>
      </c>
    </row>
    <row r="2847" spans="1:22" ht="48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8314</v>
      </c>
      <c r="R2847" t="s">
        <v>8315</v>
      </c>
      <c r="S2847" s="14">
        <f t="shared" si="266"/>
        <v>42103.016585648147</v>
      </c>
      <c r="T2847" s="14">
        <f t="shared" si="267"/>
        <v>42163.016585648147</v>
      </c>
      <c r="U2847" s="64">
        <f t="shared" si="268"/>
        <v>60</v>
      </c>
      <c r="V2847" s="13" t="str">
        <f t="shared" si="269"/>
        <v>underfunded</v>
      </c>
    </row>
    <row r="2848" spans="1:22" ht="48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0" t="s">
        <v>8314</v>
      </c>
      <c r="R2848" t="s">
        <v>8315</v>
      </c>
      <c r="S2848" s="14">
        <f t="shared" si="266"/>
        <v>42108.692060185189</v>
      </c>
      <c r="T2848" s="14">
        <f t="shared" si="267"/>
        <v>42153.692060185189</v>
      </c>
      <c r="U2848" s="64">
        <f t="shared" si="268"/>
        <v>45</v>
      </c>
      <c r="V2848" s="13" t="str">
        <f t="shared" si="269"/>
        <v>underfunded</v>
      </c>
    </row>
    <row r="2849" spans="1:22" ht="48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0" t="s">
        <v>8314</v>
      </c>
      <c r="R2849" t="s">
        <v>8315</v>
      </c>
      <c r="S2849" s="14">
        <f t="shared" si="266"/>
        <v>42453.806307870371</v>
      </c>
      <c r="T2849" s="14">
        <f t="shared" si="267"/>
        <v>42513.806307870371</v>
      </c>
      <c r="U2849" s="64">
        <f t="shared" si="268"/>
        <v>60</v>
      </c>
      <c r="V2849" s="13" t="str">
        <f t="shared" si="269"/>
        <v>underfunded</v>
      </c>
    </row>
    <row r="2850" spans="1:22" ht="48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0" t="s">
        <v>8314</v>
      </c>
      <c r="R2850" t="s">
        <v>8315</v>
      </c>
      <c r="S2850" s="14">
        <f t="shared" si="266"/>
        <v>42123.648831018523</v>
      </c>
      <c r="T2850" s="14">
        <f t="shared" si="267"/>
        <v>42153.648831018523</v>
      </c>
      <c r="U2850" s="64">
        <f t="shared" si="268"/>
        <v>30</v>
      </c>
      <c r="V2850" s="13" t="str">
        <f t="shared" si="269"/>
        <v>underfunded</v>
      </c>
    </row>
    <row r="2851" spans="1:22" ht="48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8314</v>
      </c>
      <c r="R2851" t="s">
        <v>8315</v>
      </c>
      <c r="S2851" s="14">
        <f t="shared" si="266"/>
        <v>42453.428240740745</v>
      </c>
      <c r="T2851" s="14">
        <f t="shared" si="267"/>
        <v>42483.428240740745</v>
      </c>
      <c r="U2851" s="64">
        <f t="shared" si="268"/>
        <v>30</v>
      </c>
      <c r="V2851" s="13" t="str">
        <f t="shared" si="269"/>
        <v>underfunded</v>
      </c>
    </row>
    <row r="2852" spans="1:22" ht="48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8314</v>
      </c>
      <c r="R2852" t="s">
        <v>8315</v>
      </c>
      <c r="S2852" s="14">
        <f t="shared" si="266"/>
        <v>41858.007071759261</v>
      </c>
      <c r="T2852" s="14">
        <f t="shared" si="267"/>
        <v>41888.007071759261</v>
      </c>
      <c r="U2852" s="64">
        <f t="shared" si="268"/>
        <v>30</v>
      </c>
      <c r="V2852" s="13" t="str">
        <f t="shared" si="269"/>
        <v>underfunded</v>
      </c>
    </row>
    <row r="2853" spans="1:22" ht="48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0" t="s">
        <v>8314</v>
      </c>
      <c r="R2853" t="s">
        <v>8315</v>
      </c>
      <c r="S2853" s="14">
        <f t="shared" si="266"/>
        <v>42390.002650462964</v>
      </c>
      <c r="T2853" s="14">
        <f t="shared" si="267"/>
        <v>42398.970138888893</v>
      </c>
      <c r="U2853" s="64">
        <f t="shared" si="268"/>
        <v>8.9674884259293322</v>
      </c>
      <c r="V2853" s="13" t="str">
        <f t="shared" si="269"/>
        <v>underfunded</v>
      </c>
    </row>
    <row r="2854" spans="1:22" ht="48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8314</v>
      </c>
      <c r="R2854" t="s">
        <v>8315</v>
      </c>
      <c r="S2854" s="14">
        <f t="shared" si="266"/>
        <v>41781.045173611114</v>
      </c>
      <c r="T2854" s="14">
        <f t="shared" si="267"/>
        <v>41811.045173611114</v>
      </c>
      <c r="U2854" s="64">
        <f t="shared" si="268"/>
        <v>30</v>
      </c>
      <c r="V2854" s="13" t="str">
        <f t="shared" si="269"/>
        <v>underfunded</v>
      </c>
    </row>
    <row r="2855" spans="1:22" ht="48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0" t="s">
        <v>8314</v>
      </c>
      <c r="R2855" t="s">
        <v>8315</v>
      </c>
      <c r="S2855" s="14">
        <f t="shared" si="266"/>
        <v>41836.190937499996</v>
      </c>
      <c r="T2855" s="14">
        <f t="shared" si="267"/>
        <v>41896.190937499996</v>
      </c>
      <c r="U2855" s="64">
        <f t="shared" si="268"/>
        <v>60</v>
      </c>
      <c r="V2855" s="13" t="str">
        <f t="shared" si="269"/>
        <v>underfunded</v>
      </c>
    </row>
    <row r="2856" spans="1:22" ht="48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8314</v>
      </c>
      <c r="R2856" t="s">
        <v>8315</v>
      </c>
      <c r="S2856" s="14">
        <f t="shared" si="266"/>
        <v>42111.71665509259</v>
      </c>
      <c r="T2856" s="14">
        <f t="shared" si="267"/>
        <v>42131.71665509259</v>
      </c>
      <c r="U2856" s="64">
        <f t="shared" si="268"/>
        <v>20</v>
      </c>
      <c r="V2856" s="13" t="str">
        <f t="shared" si="269"/>
        <v>underfunded</v>
      </c>
    </row>
    <row r="2857" spans="1:22" ht="48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8314</v>
      </c>
      <c r="R2857" t="s">
        <v>8315</v>
      </c>
      <c r="S2857" s="14">
        <f t="shared" si="266"/>
        <v>42370.007766203707</v>
      </c>
      <c r="T2857" s="14">
        <f t="shared" si="267"/>
        <v>42398.981944444444</v>
      </c>
      <c r="U2857" s="64">
        <f t="shared" si="268"/>
        <v>28.974178240736364</v>
      </c>
      <c r="V2857" s="13" t="str">
        <f t="shared" si="269"/>
        <v>underfunded</v>
      </c>
    </row>
    <row r="2858" spans="1:22" ht="48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8314</v>
      </c>
      <c r="R2858" t="s">
        <v>8315</v>
      </c>
      <c r="S2858" s="14">
        <f t="shared" si="266"/>
        <v>42165.037581018521</v>
      </c>
      <c r="T2858" s="14">
        <f t="shared" si="267"/>
        <v>42224.898611111115</v>
      </c>
      <c r="U2858" s="64">
        <f t="shared" si="268"/>
        <v>59.861030092593865</v>
      </c>
      <c r="V2858" s="13" t="str">
        <f t="shared" si="269"/>
        <v>underfunded</v>
      </c>
    </row>
    <row r="2859" spans="1:22" ht="6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8314</v>
      </c>
      <c r="R2859" t="s">
        <v>8315</v>
      </c>
      <c r="S2859" s="14">
        <f t="shared" si="266"/>
        <v>42726.920081018514</v>
      </c>
      <c r="T2859" s="14">
        <f t="shared" si="267"/>
        <v>42786.75</v>
      </c>
      <c r="U2859" s="64">
        <f t="shared" si="268"/>
        <v>59.829918981486117</v>
      </c>
      <c r="V2859" s="13" t="str">
        <f t="shared" si="269"/>
        <v>underfunded</v>
      </c>
    </row>
    <row r="2860" spans="1:22" ht="48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0" t="s">
        <v>8314</v>
      </c>
      <c r="R2860" t="s">
        <v>8315</v>
      </c>
      <c r="S2860" s="14">
        <f t="shared" si="266"/>
        <v>41954.545081018514</v>
      </c>
      <c r="T2860" s="14">
        <f t="shared" si="267"/>
        <v>41978.477777777778</v>
      </c>
      <c r="U2860" s="64">
        <f t="shared" si="268"/>
        <v>23.932696759264218</v>
      </c>
      <c r="V2860" s="13" t="str">
        <f t="shared" si="269"/>
        <v>underfunded</v>
      </c>
    </row>
    <row r="2861" spans="1:22" ht="3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8314</v>
      </c>
      <c r="R2861" t="s">
        <v>8315</v>
      </c>
      <c r="S2861" s="14">
        <f t="shared" si="266"/>
        <v>42233.362314814818</v>
      </c>
      <c r="T2861" s="14">
        <f t="shared" si="267"/>
        <v>42293.362314814818</v>
      </c>
      <c r="U2861" s="64">
        <f t="shared" si="268"/>
        <v>60</v>
      </c>
      <c r="V2861" s="13" t="str">
        <f t="shared" si="269"/>
        <v>underfunded</v>
      </c>
    </row>
    <row r="2862" spans="1:22" ht="48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8314</v>
      </c>
      <c r="R2862" t="s">
        <v>8315</v>
      </c>
      <c r="S2862" s="14">
        <f t="shared" si="266"/>
        <v>42480.800648148142</v>
      </c>
      <c r="T2862" s="14">
        <f t="shared" si="267"/>
        <v>42540.800648148142</v>
      </c>
      <c r="U2862" s="64">
        <f t="shared" si="268"/>
        <v>60</v>
      </c>
      <c r="V2862" s="13" t="str">
        <f t="shared" si="269"/>
        <v>underfunded</v>
      </c>
    </row>
    <row r="2863" spans="1:22" ht="48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8314</v>
      </c>
      <c r="R2863" t="s">
        <v>8315</v>
      </c>
      <c r="S2863" s="14">
        <f t="shared" si="266"/>
        <v>42257.590833333335</v>
      </c>
      <c r="T2863" s="14">
        <f t="shared" si="267"/>
        <v>42271.590833333335</v>
      </c>
      <c r="U2863" s="64">
        <f t="shared" si="268"/>
        <v>14</v>
      </c>
      <c r="V2863" s="13" t="str">
        <f t="shared" si="269"/>
        <v>underfunded</v>
      </c>
    </row>
    <row r="2864" spans="1:22" ht="48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0" t="s">
        <v>8314</v>
      </c>
      <c r="R2864" t="s">
        <v>8315</v>
      </c>
      <c r="S2864" s="14">
        <f t="shared" si="266"/>
        <v>41784.789687500001</v>
      </c>
      <c r="T2864" s="14">
        <f t="shared" si="267"/>
        <v>41814.789687500001</v>
      </c>
      <c r="U2864" s="64">
        <f t="shared" si="268"/>
        <v>30</v>
      </c>
      <c r="V2864" s="13" t="str">
        <f t="shared" si="269"/>
        <v>underfunded</v>
      </c>
    </row>
    <row r="2865" spans="1:22" ht="48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0" t="s">
        <v>8314</v>
      </c>
      <c r="R2865" t="s">
        <v>8315</v>
      </c>
      <c r="S2865" s="14">
        <f t="shared" si="266"/>
        <v>41831.675034722226</v>
      </c>
      <c r="T2865" s="14">
        <f t="shared" si="267"/>
        <v>41891.675034722226</v>
      </c>
      <c r="U2865" s="64">
        <f t="shared" si="268"/>
        <v>60</v>
      </c>
      <c r="V2865" s="13" t="str">
        <f t="shared" si="269"/>
        <v>underfunded</v>
      </c>
    </row>
    <row r="2866" spans="1:22" ht="16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8314</v>
      </c>
      <c r="R2866" t="s">
        <v>8315</v>
      </c>
      <c r="S2866" s="14">
        <f t="shared" si="266"/>
        <v>42172.613506944443</v>
      </c>
      <c r="T2866" s="14">
        <f t="shared" si="267"/>
        <v>42202.554166666669</v>
      </c>
      <c r="U2866" s="64">
        <f t="shared" si="268"/>
        <v>29.940659722225973</v>
      </c>
      <c r="V2866" s="13" t="str">
        <f t="shared" si="269"/>
        <v>underfunded</v>
      </c>
    </row>
    <row r="2867" spans="1:22" ht="48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0" t="s">
        <v>8314</v>
      </c>
      <c r="R2867" t="s">
        <v>8315</v>
      </c>
      <c r="S2867" s="14">
        <f t="shared" si="266"/>
        <v>41950.114108796297</v>
      </c>
      <c r="T2867" s="14">
        <f t="shared" si="267"/>
        <v>42010.114108796297</v>
      </c>
      <c r="U2867" s="64">
        <f t="shared" si="268"/>
        <v>60</v>
      </c>
      <c r="V2867" s="13" t="str">
        <f t="shared" si="269"/>
        <v>underfunded</v>
      </c>
    </row>
    <row r="2868" spans="1:22" ht="48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8314</v>
      </c>
      <c r="R2868" t="s">
        <v>8315</v>
      </c>
      <c r="S2868" s="14">
        <f t="shared" si="266"/>
        <v>42627.955104166671</v>
      </c>
      <c r="T2868" s="14">
        <f t="shared" si="267"/>
        <v>42657.916666666672</v>
      </c>
      <c r="U2868" s="64">
        <f t="shared" si="268"/>
        <v>29.961562500000582</v>
      </c>
      <c r="V2868" s="13" t="str">
        <f t="shared" si="269"/>
        <v>underfunded</v>
      </c>
    </row>
    <row r="2869" spans="1:22" ht="48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8314</v>
      </c>
      <c r="R2869" t="s">
        <v>8315</v>
      </c>
      <c r="S2869" s="14">
        <f t="shared" si="266"/>
        <v>42531.195277777777</v>
      </c>
      <c r="T2869" s="14">
        <f t="shared" si="267"/>
        <v>42555.166666666672</v>
      </c>
      <c r="U2869" s="64">
        <f t="shared" si="268"/>
        <v>23.97138888889458</v>
      </c>
      <c r="V2869" s="13" t="str">
        <f t="shared" si="269"/>
        <v>underfunded</v>
      </c>
    </row>
    <row r="2870" spans="1:22" ht="48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8314</v>
      </c>
      <c r="R2870" t="s">
        <v>8315</v>
      </c>
      <c r="S2870" s="14">
        <f t="shared" si="266"/>
        <v>42618.827013888891</v>
      </c>
      <c r="T2870" s="14">
        <f t="shared" si="267"/>
        <v>42648.827013888891</v>
      </c>
      <c r="U2870" s="64">
        <f t="shared" si="268"/>
        <v>30</v>
      </c>
      <c r="V2870" s="13" t="str">
        <f t="shared" si="269"/>
        <v>underfunded</v>
      </c>
    </row>
    <row r="2871" spans="1:22" ht="48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8314</v>
      </c>
      <c r="R2871" t="s">
        <v>8315</v>
      </c>
      <c r="S2871" s="14">
        <f t="shared" si="266"/>
        <v>42540.593530092592</v>
      </c>
      <c r="T2871" s="14">
        <f t="shared" si="267"/>
        <v>42570.593530092592</v>
      </c>
      <c r="U2871" s="64">
        <f t="shared" si="268"/>
        <v>30</v>
      </c>
      <c r="V2871" s="13" t="str">
        <f t="shared" si="269"/>
        <v>underfunded</v>
      </c>
    </row>
    <row r="2872" spans="1:22" ht="48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8314</v>
      </c>
      <c r="R2872" t="s">
        <v>8315</v>
      </c>
      <c r="S2872" s="14">
        <f t="shared" si="266"/>
        <v>41746.189409722225</v>
      </c>
      <c r="T2872" s="14">
        <f t="shared" si="267"/>
        <v>41776.189409722225</v>
      </c>
      <c r="U2872" s="64">
        <f t="shared" si="268"/>
        <v>30</v>
      </c>
      <c r="V2872" s="13" t="str">
        <f t="shared" si="269"/>
        <v>underfunded</v>
      </c>
    </row>
    <row r="2873" spans="1:22" ht="48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8314</v>
      </c>
      <c r="R2873" t="s">
        <v>8315</v>
      </c>
      <c r="S2873" s="14">
        <f t="shared" si="266"/>
        <v>41974.738576388889</v>
      </c>
      <c r="T2873" s="14">
        <f t="shared" si="267"/>
        <v>41994.738576388889</v>
      </c>
      <c r="U2873" s="64">
        <f t="shared" si="268"/>
        <v>20</v>
      </c>
      <c r="V2873" s="13" t="str">
        <f t="shared" si="269"/>
        <v>underfunded</v>
      </c>
    </row>
    <row r="2874" spans="1:22" ht="3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0" t="s">
        <v>8314</v>
      </c>
      <c r="R2874" t="s">
        <v>8315</v>
      </c>
      <c r="S2874" s="14">
        <f t="shared" si="266"/>
        <v>42115.11618055556</v>
      </c>
      <c r="T2874" s="14">
        <f t="shared" si="267"/>
        <v>42175.11618055556</v>
      </c>
      <c r="U2874" s="64">
        <f t="shared" si="268"/>
        <v>60</v>
      </c>
      <c r="V2874" s="13" t="str">
        <f t="shared" si="269"/>
        <v>underfunded</v>
      </c>
    </row>
    <row r="2875" spans="1:22" ht="48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8314</v>
      </c>
      <c r="R2875" t="s">
        <v>8315</v>
      </c>
      <c r="S2875" s="14">
        <f t="shared" si="266"/>
        <v>42002.817488425921</v>
      </c>
      <c r="T2875" s="14">
        <f t="shared" si="267"/>
        <v>42032.817488425921</v>
      </c>
      <c r="U2875" s="64">
        <f t="shared" si="268"/>
        <v>30</v>
      </c>
      <c r="V2875" s="13" t="str">
        <f t="shared" si="269"/>
        <v>underfunded</v>
      </c>
    </row>
    <row r="2876" spans="1:22" ht="48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8314</v>
      </c>
      <c r="R2876" t="s">
        <v>8315</v>
      </c>
      <c r="S2876" s="14">
        <f t="shared" si="266"/>
        <v>42722.84474537037</v>
      </c>
      <c r="T2876" s="14">
        <f t="shared" si="267"/>
        <v>42752.84474537037</v>
      </c>
      <c r="U2876" s="64">
        <f t="shared" si="268"/>
        <v>30</v>
      </c>
      <c r="V2876" s="13" t="str">
        <f t="shared" si="269"/>
        <v>underfunded</v>
      </c>
    </row>
    <row r="2877" spans="1:22" ht="48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0" t="s">
        <v>8314</v>
      </c>
      <c r="R2877" t="s">
        <v>8315</v>
      </c>
      <c r="S2877" s="14">
        <f t="shared" si="266"/>
        <v>42465.128391203703</v>
      </c>
      <c r="T2877" s="14">
        <f t="shared" si="267"/>
        <v>42495.128391203703</v>
      </c>
      <c r="U2877" s="64">
        <f t="shared" si="268"/>
        <v>30</v>
      </c>
      <c r="V2877" s="13" t="str">
        <f t="shared" si="269"/>
        <v>underfunded</v>
      </c>
    </row>
    <row r="2878" spans="1:22" ht="48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0" t="s">
        <v>8314</v>
      </c>
      <c r="R2878" t="s">
        <v>8315</v>
      </c>
      <c r="S2878" s="14">
        <f t="shared" si="266"/>
        <v>42171.743969907402</v>
      </c>
      <c r="T2878" s="14">
        <f t="shared" si="267"/>
        <v>42201.743969907402</v>
      </c>
      <c r="U2878" s="64">
        <f t="shared" si="268"/>
        <v>30</v>
      </c>
      <c r="V2878" s="13" t="str">
        <f t="shared" si="269"/>
        <v>underfunded</v>
      </c>
    </row>
    <row r="2879" spans="1:22" ht="48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8314</v>
      </c>
      <c r="R2879" t="s">
        <v>8315</v>
      </c>
      <c r="S2879" s="14">
        <f t="shared" si="266"/>
        <v>42672.955138888887</v>
      </c>
      <c r="T2879" s="14">
        <f t="shared" si="267"/>
        <v>42704.708333333328</v>
      </c>
      <c r="U2879" s="64">
        <f t="shared" si="268"/>
        <v>31.75319444444176</v>
      </c>
      <c r="V2879" s="13" t="str">
        <f t="shared" si="269"/>
        <v>underfunded</v>
      </c>
    </row>
    <row r="2880" spans="1:22" ht="48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8314</v>
      </c>
      <c r="R2880" t="s">
        <v>8315</v>
      </c>
      <c r="S2880" s="14">
        <f t="shared" si="266"/>
        <v>42128.615682870368</v>
      </c>
      <c r="T2880" s="14">
        <f t="shared" si="267"/>
        <v>42188.615682870368</v>
      </c>
      <c r="U2880" s="64">
        <f t="shared" si="268"/>
        <v>60</v>
      </c>
      <c r="V2880" s="13" t="str">
        <f t="shared" si="269"/>
        <v>underfunded</v>
      </c>
    </row>
    <row r="2881" spans="1:22" ht="48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0" t="s">
        <v>8314</v>
      </c>
      <c r="R2881" t="s">
        <v>8315</v>
      </c>
      <c r="S2881" s="14">
        <f t="shared" si="266"/>
        <v>42359.725243055553</v>
      </c>
      <c r="T2881" s="14">
        <f t="shared" si="267"/>
        <v>42389.725243055553</v>
      </c>
      <c r="U2881" s="64">
        <f t="shared" si="268"/>
        <v>30</v>
      </c>
      <c r="V2881" s="13" t="str">
        <f t="shared" si="269"/>
        <v>underfunded</v>
      </c>
    </row>
    <row r="2882" spans="1:22" ht="48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>
        <f t="shared" si="265"/>
        <v>96.55</v>
      </c>
      <c r="Q2882" s="10" t="s">
        <v>8314</v>
      </c>
      <c r="R2882" t="s">
        <v>8315</v>
      </c>
      <c r="S2882" s="14">
        <f t="shared" si="266"/>
        <v>42192.905694444446</v>
      </c>
      <c r="T2882" s="14">
        <f t="shared" si="267"/>
        <v>42236.711805555555</v>
      </c>
      <c r="U2882" s="64">
        <f t="shared" si="268"/>
        <v>43.806111111109203</v>
      </c>
      <c r="V2882" s="13" t="str">
        <f t="shared" si="269"/>
        <v>underfunded</v>
      </c>
    </row>
    <row r="2883" spans="1:22" ht="48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0">ROUND(E2883/D2883*100,0)</f>
        <v>0</v>
      </c>
      <c r="P2883">
        <f t="shared" ref="P2883:P2946" si="271">IFERROR(ROUND(E2883/L2883,2), 0)</f>
        <v>0</v>
      </c>
      <c r="Q2883" s="10" t="s">
        <v>8314</v>
      </c>
      <c r="R2883" t="s">
        <v>8315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 s="64">
        <f t="shared" ref="U2883:V2946" si="274">T2883-S2883</f>
        <v>60.041666666664241</v>
      </c>
      <c r="V2883" s="13" t="str">
        <f t="shared" ref="V2883:V2946" si="275">IF(E2883&gt;=D2883, "funded", "underfunded")</f>
        <v>underfunded</v>
      </c>
    </row>
    <row r="2884" spans="1:22" ht="48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8314</v>
      </c>
      <c r="R2884" t="s">
        <v>8315</v>
      </c>
      <c r="S2884" s="14">
        <f t="shared" si="272"/>
        <v>42461.596273148149</v>
      </c>
      <c r="T2884" s="14">
        <f t="shared" si="273"/>
        <v>42491.596273148149</v>
      </c>
      <c r="U2884" s="64">
        <f t="shared" si="274"/>
        <v>30</v>
      </c>
      <c r="V2884" s="13" t="str">
        <f t="shared" si="275"/>
        <v>underfunded</v>
      </c>
    </row>
    <row r="2885" spans="1:22" ht="48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8314</v>
      </c>
      <c r="R2885" t="s">
        <v>8315</v>
      </c>
      <c r="S2885" s="14">
        <f t="shared" si="272"/>
        <v>42370.90320601852</v>
      </c>
      <c r="T2885" s="14">
        <f t="shared" si="273"/>
        <v>42406.207638888889</v>
      </c>
      <c r="U2885" s="64">
        <f t="shared" si="274"/>
        <v>35.304432870369055</v>
      </c>
      <c r="V2885" s="13" t="str">
        <f t="shared" si="275"/>
        <v>underfunded</v>
      </c>
    </row>
    <row r="2886" spans="1:22" ht="3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0" t="s">
        <v>8314</v>
      </c>
      <c r="R2886" t="s">
        <v>8315</v>
      </c>
      <c r="S2886" s="14">
        <f t="shared" si="272"/>
        <v>41948.727256944447</v>
      </c>
      <c r="T2886" s="14">
        <f t="shared" si="273"/>
        <v>41978.727256944447</v>
      </c>
      <c r="U2886" s="64">
        <f t="shared" si="274"/>
        <v>30</v>
      </c>
      <c r="V2886" s="13" t="str">
        <f t="shared" si="275"/>
        <v>underfunded</v>
      </c>
    </row>
    <row r="2887" spans="1:22" ht="3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8314</v>
      </c>
      <c r="R2887" t="s">
        <v>8315</v>
      </c>
      <c r="S2887" s="14">
        <f t="shared" si="272"/>
        <v>42047.07640046296</v>
      </c>
      <c r="T2887" s="14">
        <f t="shared" si="273"/>
        <v>42077.034733796296</v>
      </c>
      <c r="U2887" s="64">
        <f t="shared" si="274"/>
        <v>29.958333333335759</v>
      </c>
      <c r="V2887" s="13" t="str">
        <f t="shared" si="275"/>
        <v>underfunded</v>
      </c>
    </row>
    <row r="2888" spans="1:22" ht="48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8314</v>
      </c>
      <c r="R2888" t="s">
        <v>8315</v>
      </c>
      <c r="S2888" s="14">
        <f t="shared" si="272"/>
        <v>42261.632916666669</v>
      </c>
      <c r="T2888" s="14">
        <f t="shared" si="273"/>
        <v>42266.165972222225</v>
      </c>
      <c r="U2888" s="64">
        <f t="shared" si="274"/>
        <v>4.5330555555556202</v>
      </c>
      <c r="V2888" s="13" t="str">
        <f t="shared" si="275"/>
        <v>underfunded</v>
      </c>
    </row>
    <row r="2889" spans="1:22" ht="48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0" t="s">
        <v>8314</v>
      </c>
      <c r="R2889" t="s">
        <v>8315</v>
      </c>
      <c r="S2889" s="14">
        <f t="shared" si="272"/>
        <v>41985.427361111113</v>
      </c>
      <c r="T2889" s="14">
        <f t="shared" si="273"/>
        <v>42015.427361111113</v>
      </c>
      <c r="U2889" s="64">
        <f t="shared" si="274"/>
        <v>30</v>
      </c>
      <c r="V2889" s="13" t="str">
        <f t="shared" si="275"/>
        <v>underfunded</v>
      </c>
    </row>
    <row r="2890" spans="1:22" ht="48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0" t="s">
        <v>8314</v>
      </c>
      <c r="R2890" t="s">
        <v>8315</v>
      </c>
      <c r="S2890" s="14">
        <f t="shared" si="272"/>
        <v>41922.535185185188</v>
      </c>
      <c r="T2890" s="14">
        <f t="shared" si="273"/>
        <v>41930.207638888889</v>
      </c>
      <c r="U2890" s="64">
        <f t="shared" si="274"/>
        <v>7.6724537037007394</v>
      </c>
      <c r="V2890" s="13" t="str">
        <f t="shared" si="275"/>
        <v>underfunded</v>
      </c>
    </row>
    <row r="2891" spans="1:22" ht="48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8314</v>
      </c>
      <c r="R2891" t="s">
        <v>8315</v>
      </c>
      <c r="S2891" s="14">
        <f t="shared" si="272"/>
        <v>41850.863252314812</v>
      </c>
      <c r="T2891" s="14">
        <f t="shared" si="273"/>
        <v>41880.863252314812</v>
      </c>
      <c r="U2891" s="64">
        <f t="shared" si="274"/>
        <v>30</v>
      </c>
      <c r="V2891" s="13" t="str">
        <f t="shared" si="275"/>
        <v>underfunded</v>
      </c>
    </row>
    <row r="2892" spans="1:22" ht="48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8314</v>
      </c>
      <c r="R2892" t="s">
        <v>8315</v>
      </c>
      <c r="S2892" s="14">
        <f t="shared" si="272"/>
        <v>41831.742962962962</v>
      </c>
      <c r="T2892" s="14">
        <f t="shared" si="273"/>
        <v>41860.125</v>
      </c>
      <c r="U2892" s="64">
        <f t="shared" si="274"/>
        <v>28.382037037037662</v>
      </c>
      <c r="V2892" s="13" t="str">
        <f t="shared" si="275"/>
        <v>underfunded</v>
      </c>
    </row>
    <row r="2893" spans="1:22" ht="48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8314</v>
      </c>
      <c r="R2893" t="s">
        <v>8315</v>
      </c>
      <c r="S2893" s="14">
        <f t="shared" si="272"/>
        <v>42415.883425925931</v>
      </c>
      <c r="T2893" s="14">
        <f t="shared" si="273"/>
        <v>42475.84175925926</v>
      </c>
      <c r="U2893" s="64">
        <f t="shared" si="274"/>
        <v>59.958333333328483</v>
      </c>
      <c r="V2893" s="13" t="str">
        <f t="shared" si="275"/>
        <v>underfunded</v>
      </c>
    </row>
    <row r="2894" spans="1:22" ht="48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8314</v>
      </c>
      <c r="R2894" t="s">
        <v>8315</v>
      </c>
      <c r="S2894" s="14">
        <f t="shared" si="272"/>
        <v>41869.714166666665</v>
      </c>
      <c r="T2894" s="14">
        <f t="shared" si="273"/>
        <v>41876.875</v>
      </c>
      <c r="U2894" s="64">
        <f t="shared" si="274"/>
        <v>7.1608333333351766</v>
      </c>
      <c r="V2894" s="13" t="str">
        <f t="shared" si="275"/>
        <v>underfunded</v>
      </c>
    </row>
    <row r="2895" spans="1:22" ht="16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8314</v>
      </c>
      <c r="R2895" t="s">
        <v>8315</v>
      </c>
      <c r="S2895" s="14">
        <f t="shared" si="272"/>
        <v>41953.773090277777</v>
      </c>
      <c r="T2895" s="14">
        <f t="shared" si="273"/>
        <v>42013.083333333328</v>
      </c>
      <c r="U2895" s="64">
        <f t="shared" si="274"/>
        <v>59.310243055551837</v>
      </c>
      <c r="V2895" s="13" t="str">
        <f t="shared" si="275"/>
        <v>underfunded</v>
      </c>
    </row>
    <row r="2896" spans="1:22" ht="3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0" t="s">
        <v>8314</v>
      </c>
      <c r="R2896" t="s">
        <v>8315</v>
      </c>
      <c r="S2896" s="14">
        <f t="shared" si="272"/>
        <v>42037.986284722225</v>
      </c>
      <c r="T2896" s="14">
        <f t="shared" si="273"/>
        <v>42097.944618055553</v>
      </c>
      <c r="U2896" s="64">
        <f t="shared" si="274"/>
        <v>59.958333333328483</v>
      </c>
      <c r="V2896" s="13" t="str">
        <f t="shared" si="275"/>
        <v>underfunded</v>
      </c>
    </row>
    <row r="2897" spans="1:22" ht="48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8314</v>
      </c>
      <c r="R2897" t="s">
        <v>8315</v>
      </c>
      <c r="S2897" s="14">
        <f t="shared" si="272"/>
        <v>41811.555462962962</v>
      </c>
      <c r="T2897" s="14">
        <f t="shared" si="273"/>
        <v>41812.875</v>
      </c>
      <c r="U2897" s="64">
        <f t="shared" si="274"/>
        <v>1.3195370370376622</v>
      </c>
      <c r="V2897" s="13" t="str">
        <f t="shared" si="275"/>
        <v>underfunded</v>
      </c>
    </row>
    <row r="2898" spans="1:22" ht="48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8314</v>
      </c>
      <c r="R2898" t="s">
        <v>8315</v>
      </c>
      <c r="S2898" s="14">
        <f t="shared" si="272"/>
        <v>42701.908807870372</v>
      </c>
      <c r="T2898" s="14">
        <f t="shared" si="273"/>
        <v>42716.25</v>
      </c>
      <c r="U2898" s="64">
        <f t="shared" si="274"/>
        <v>14.341192129628325</v>
      </c>
      <c r="V2898" s="13" t="str">
        <f t="shared" si="275"/>
        <v>underfunded</v>
      </c>
    </row>
    <row r="2899" spans="1:22" ht="48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8314</v>
      </c>
      <c r="R2899" t="s">
        <v>8315</v>
      </c>
      <c r="S2899" s="14">
        <f t="shared" si="272"/>
        <v>42258.646504629629</v>
      </c>
      <c r="T2899" s="14">
        <f t="shared" si="273"/>
        <v>42288.645196759258</v>
      </c>
      <c r="U2899" s="64">
        <f t="shared" si="274"/>
        <v>29.99869212962949</v>
      </c>
      <c r="V2899" s="13" t="str">
        <f t="shared" si="275"/>
        <v>underfunded</v>
      </c>
    </row>
    <row r="2900" spans="1:22" ht="48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8314</v>
      </c>
      <c r="R2900" t="s">
        <v>8315</v>
      </c>
      <c r="S2900" s="14">
        <f t="shared" si="272"/>
        <v>42278.664965277778</v>
      </c>
      <c r="T2900" s="14">
        <f t="shared" si="273"/>
        <v>42308.664965277778</v>
      </c>
      <c r="U2900" s="64">
        <f t="shared" si="274"/>
        <v>30</v>
      </c>
      <c r="V2900" s="13" t="str">
        <f t="shared" si="275"/>
        <v>underfunded</v>
      </c>
    </row>
    <row r="2901" spans="1:22" ht="48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0" t="s">
        <v>8314</v>
      </c>
      <c r="R2901" t="s">
        <v>8315</v>
      </c>
      <c r="S2901" s="14">
        <f t="shared" si="272"/>
        <v>42515.078217592592</v>
      </c>
      <c r="T2901" s="14">
        <f t="shared" si="273"/>
        <v>42575.078217592592</v>
      </c>
      <c r="U2901" s="64">
        <f t="shared" si="274"/>
        <v>60</v>
      </c>
      <c r="V2901" s="13" t="str">
        <f t="shared" si="275"/>
        <v>underfunded</v>
      </c>
    </row>
    <row r="2902" spans="1:22" ht="48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8314</v>
      </c>
      <c r="R2902" t="s">
        <v>8315</v>
      </c>
      <c r="S2902" s="14">
        <f t="shared" si="272"/>
        <v>41830.234166666669</v>
      </c>
      <c r="T2902" s="14">
        <f t="shared" si="273"/>
        <v>41860.234166666669</v>
      </c>
      <c r="U2902" s="64">
        <f t="shared" si="274"/>
        <v>30</v>
      </c>
      <c r="V2902" s="13" t="str">
        <f t="shared" si="275"/>
        <v>underfunded</v>
      </c>
    </row>
    <row r="2903" spans="1:22" ht="48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8314</v>
      </c>
      <c r="R2903" t="s">
        <v>8315</v>
      </c>
      <c r="S2903" s="14">
        <f t="shared" si="272"/>
        <v>41982.904386574075</v>
      </c>
      <c r="T2903" s="14">
        <f t="shared" si="273"/>
        <v>42042.904386574075</v>
      </c>
      <c r="U2903" s="64">
        <f t="shared" si="274"/>
        <v>60</v>
      </c>
      <c r="V2903" s="13" t="str">
        <f t="shared" si="275"/>
        <v>underfunded</v>
      </c>
    </row>
    <row r="2904" spans="1:22" ht="3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0" t="s">
        <v>8314</v>
      </c>
      <c r="R2904" t="s">
        <v>8315</v>
      </c>
      <c r="S2904" s="14">
        <f t="shared" si="272"/>
        <v>42210.439768518518</v>
      </c>
      <c r="T2904" s="14">
        <f t="shared" si="273"/>
        <v>42240.439768518518</v>
      </c>
      <c r="U2904" s="64">
        <f t="shared" si="274"/>
        <v>30</v>
      </c>
      <c r="V2904" s="13" t="str">
        <f t="shared" si="275"/>
        <v>underfunded</v>
      </c>
    </row>
    <row r="2905" spans="1:22" ht="48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8314</v>
      </c>
      <c r="R2905" t="s">
        <v>8315</v>
      </c>
      <c r="S2905" s="14">
        <f t="shared" si="272"/>
        <v>42196.166874999995</v>
      </c>
      <c r="T2905" s="14">
        <f t="shared" si="273"/>
        <v>42256.166874999995</v>
      </c>
      <c r="U2905" s="64">
        <f t="shared" si="274"/>
        <v>60</v>
      </c>
      <c r="V2905" s="13" t="str">
        <f t="shared" si="275"/>
        <v>underfunded</v>
      </c>
    </row>
    <row r="2906" spans="1:22" ht="48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8314</v>
      </c>
      <c r="R2906" t="s">
        <v>8315</v>
      </c>
      <c r="S2906" s="14">
        <f t="shared" si="272"/>
        <v>41940.967951388891</v>
      </c>
      <c r="T2906" s="14">
        <f t="shared" si="273"/>
        <v>41952.5</v>
      </c>
      <c r="U2906" s="64">
        <f t="shared" si="274"/>
        <v>11.532048611108621</v>
      </c>
      <c r="V2906" s="13" t="str">
        <f t="shared" si="275"/>
        <v>underfunded</v>
      </c>
    </row>
    <row r="2907" spans="1:22" ht="48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8314</v>
      </c>
      <c r="R2907" t="s">
        <v>8315</v>
      </c>
      <c r="S2907" s="14">
        <f t="shared" si="272"/>
        <v>42606.056863425925</v>
      </c>
      <c r="T2907" s="14">
        <f t="shared" si="273"/>
        <v>42620.056863425925</v>
      </c>
      <c r="U2907" s="64">
        <f t="shared" si="274"/>
        <v>14</v>
      </c>
      <c r="V2907" s="13" t="str">
        <f t="shared" si="275"/>
        <v>underfunded</v>
      </c>
    </row>
    <row r="2908" spans="1:22" ht="48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8314</v>
      </c>
      <c r="R2908" t="s">
        <v>8315</v>
      </c>
      <c r="S2908" s="14">
        <f t="shared" si="272"/>
        <v>42199.648912037039</v>
      </c>
      <c r="T2908" s="14">
        <f t="shared" si="273"/>
        <v>42217.041666666672</v>
      </c>
      <c r="U2908" s="64">
        <f t="shared" si="274"/>
        <v>17.392754629632691</v>
      </c>
      <c r="V2908" s="13" t="str">
        <f t="shared" si="275"/>
        <v>underfunded</v>
      </c>
    </row>
    <row r="2909" spans="1:22" ht="48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0" t="s">
        <v>8314</v>
      </c>
      <c r="R2909" t="s">
        <v>8315</v>
      </c>
      <c r="S2909" s="14">
        <f t="shared" si="272"/>
        <v>42444.877743055549</v>
      </c>
      <c r="T2909" s="14">
        <f t="shared" si="273"/>
        <v>42504.877743055549</v>
      </c>
      <c r="U2909" s="64">
        <f t="shared" si="274"/>
        <v>60</v>
      </c>
      <c r="V2909" s="13" t="str">
        <f t="shared" si="275"/>
        <v>underfunded</v>
      </c>
    </row>
    <row r="2910" spans="1:22" ht="6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8314</v>
      </c>
      <c r="R2910" t="s">
        <v>8315</v>
      </c>
      <c r="S2910" s="14">
        <f t="shared" si="272"/>
        <v>42499.731701388882</v>
      </c>
      <c r="T2910" s="14">
        <f t="shared" si="273"/>
        <v>42529.731701388882</v>
      </c>
      <c r="U2910" s="64">
        <f t="shared" si="274"/>
        <v>30</v>
      </c>
      <c r="V2910" s="13" t="str">
        <f t="shared" si="275"/>
        <v>underfunded</v>
      </c>
    </row>
    <row r="2911" spans="1:22" ht="48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0" t="s">
        <v>8314</v>
      </c>
      <c r="R2911" t="s">
        <v>8315</v>
      </c>
      <c r="S2911" s="14">
        <f t="shared" si="272"/>
        <v>41929.266215277778</v>
      </c>
      <c r="T2911" s="14">
        <f t="shared" si="273"/>
        <v>41968.823611111111</v>
      </c>
      <c r="U2911" s="64">
        <f t="shared" si="274"/>
        <v>39.55739583333343</v>
      </c>
      <c r="V2911" s="13" t="str">
        <f t="shared" si="275"/>
        <v>underfunded</v>
      </c>
    </row>
    <row r="2912" spans="1:22" ht="48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0" t="s">
        <v>8314</v>
      </c>
      <c r="R2912" t="s">
        <v>8315</v>
      </c>
      <c r="S2912" s="14">
        <f t="shared" si="272"/>
        <v>42107.841284722221</v>
      </c>
      <c r="T2912" s="14">
        <f t="shared" si="273"/>
        <v>42167.841284722221</v>
      </c>
      <c r="U2912" s="64">
        <f t="shared" si="274"/>
        <v>60</v>
      </c>
      <c r="V2912" s="13" t="str">
        <f t="shared" si="275"/>
        <v>underfunded</v>
      </c>
    </row>
    <row r="2913" spans="1:22" ht="48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8314</v>
      </c>
      <c r="R2913" t="s">
        <v>8315</v>
      </c>
      <c r="S2913" s="14">
        <f t="shared" si="272"/>
        <v>42142.768819444449</v>
      </c>
      <c r="T2913" s="14">
        <f t="shared" si="273"/>
        <v>42182.768819444449</v>
      </c>
      <c r="U2913" s="64">
        <f t="shared" si="274"/>
        <v>40</v>
      </c>
      <c r="V2913" s="13" t="str">
        <f t="shared" si="275"/>
        <v>underfunded</v>
      </c>
    </row>
    <row r="2914" spans="1:22" ht="48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8314</v>
      </c>
      <c r="R2914" t="s">
        <v>8315</v>
      </c>
      <c r="S2914" s="14">
        <f t="shared" si="272"/>
        <v>42354.131643518514</v>
      </c>
      <c r="T2914" s="14">
        <f t="shared" si="273"/>
        <v>42384.131643518514</v>
      </c>
      <c r="U2914" s="64">
        <f t="shared" si="274"/>
        <v>30</v>
      </c>
      <c r="V2914" s="13" t="str">
        <f t="shared" si="275"/>
        <v>underfunded</v>
      </c>
    </row>
    <row r="2915" spans="1:22" ht="48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0" t="s">
        <v>8314</v>
      </c>
      <c r="R2915" t="s">
        <v>8315</v>
      </c>
      <c r="S2915" s="14">
        <f t="shared" si="272"/>
        <v>41828.922905092593</v>
      </c>
      <c r="T2915" s="14">
        <f t="shared" si="273"/>
        <v>41888.922905092593</v>
      </c>
      <c r="U2915" s="64">
        <f t="shared" si="274"/>
        <v>60</v>
      </c>
      <c r="V2915" s="13" t="str">
        <f t="shared" si="275"/>
        <v>underfunded</v>
      </c>
    </row>
    <row r="2916" spans="1:22" ht="3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0" t="s">
        <v>8314</v>
      </c>
      <c r="R2916" t="s">
        <v>8315</v>
      </c>
      <c r="S2916" s="14">
        <f t="shared" si="272"/>
        <v>42017.907337962963</v>
      </c>
      <c r="T2916" s="14">
        <f t="shared" si="273"/>
        <v>42077.865671296298</v>
      </c>
      <c r="U2916" s="64">
        <f t="shared" si="274"/>
        <v>59.958333333335759</v>
      </c>
      <c r="V2916" s="13" t="str">
        <f t="shared" si="275"/>
        <v>underfunded</v>
      </c>
    </row>
    <row r="2917" spans="1:22" ht="48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8314</v>
      </c>
      <c r="R2917" t="s">
        <v>8315</v>
      </c>
      <c r="S2917" s="14">
        <f t="shared" si="272"/>
        <v>42415.398032407407</v>
      </c>
      <c r="T2917" s="14">
        <f t="shared" si="273"/>
        <v>42445.356365740736</v>
      </c>
      <c r="U2917" s="64">
        <f t="shared" si="274"/>
        <v>29.958333333328483</v>
      </c>
      <c r="V2917" s="13" t="str">
        <f t="shared" si="275"/>
        <v>underfunded</v>
      </c>
    </row>
    <row r="2918" spans="1:22" ht="3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8314</v>
      </c>
      <c r="R2918" t="s">
        <v>8315</v>
      </c>
      <c r="S2918" s="14">
        <f t="shared" si="272"/>
        <v>41755.476724537039</v>
      </c>
      <c r="T2918" s="14">
        <f t="shared" si="273"/>
        <v>41778.476724537039</v>
      </c>
      <c r="U2918" s="64">
        <f t="shared" si="274"/>
        <v>23</v>
      </c>
      <c r="V2918" s="13" t="str">
        <f t="shared" si="275"/>
        <v>underfunded</v>
      </c>
    </row>
    <row r="2919" spans="1:22" ht="48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8314</v>
      </c>
      <c r="R2919" t="s">
        <v>8315</v>
      </c>
      <c r="S2919" s="14">
        <f t="shared" si="272"/>
        <v>42245.234340277777</v>
      </c>
      <c r="T2919" s="14">
        <f t="shared" si="273"/>
        <v>42263.234340277777</v>
      </c>
      <c r="U2919" s="64">
        <f t="shared" si="274"/>
        <v>18</v>
      </c>
      <c r="V2919" s="13" t="str">
        <f t="shared" si="275"/>
        <v>underfunded</v>
      </c>
    </row>
    <row r="2920" spans="1:22" ht="48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8314</v>
      </c>
      <c r="R2920" t="s">
        <v>8315</v>
      </c>
      <c r="S2920" s="14">
        <f t="shared" si="272"/>
        <v>42278.629710648151</v>
      </c>
      <c r="T2920" s="14">
        <f t="shared" si="273"/>
        <v>42306.629710648151</v>
      </c>
      <c r="U2920" s="64">
        <f t="shared" si="274"/>
        <v>28</v>
      </c>
      <c r="V2920" s="13" t="str">
        <f t="shared" si="275"/>
        <v>underfunded</v>
      </c>
    </row>
    <row r="2921" spans="1:22" ht="48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8314</v>
      </c>
      <c r="R2921" t="s">
        <v>8315</v>
      </c>
      <c r="S2921" s="14">
        <f t="shared" si="272"/>
        <v>41826.61954861111</v>
      </c>
      <c r="T2921" s="14">
        <f t="shared" si="273"/>
        <v>41856.61954861111</v>
      </c>
      <c r="U2921" s="64">
        <f t="shared" si="274"/>
        <v>30</v>
      </c>
      <c r="V2921" s="13" t="str">
        <f t="shared" si="275"/>
        <v>underfunded</v>
      </c>
    </row>
    <row r="2922" spans="1:22" ht="48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8314</v>
      </c>
      <c r="R2922" t="s">
        <v>8315</v>
      </c>
      <c r="S2922" s="14">
        <f t="shared" si="272"/>
        <v>42058.792476851857</v>
      </c>
      <c r="T2922" s="14">
        <f t="shared" si="273"/>
        <v>42088.750810185185</v>
      </c>
      <c r="U2922" s="64">
        <f t="shared" si="274"/>
        <v>29.958333333328483</v>
      </c>
      <c r="V2922" s="13" t="str">
        <f t="shared" si="275"/>
        <v>underfunded</v>
      </c>
    </row>
    <row r="2923" spans="1:22" ht="3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8314</v>
      </c>
      <c r="R2923" t="s">
        <v>8356</v>
      </c>
      <c r="S2923" s="14">
        <f t="shared" si="272"/>
        <v>41877.886620370373</v>
      </c>
      <c r="T2923" s="14">
        <f t="shared" si="273"/>
        <v>41907.886620370373</v>
      </c>
      <c r="U2923" s="64">
        <f t="shared" si="274"/>
        <v>30</v>
      </c>
      <c r="V2923" s="13" t="str">
        <f t="shared" si="275"/>
        <v>funded</v>
      </c>
    </row>
    <row r="2924" spans="1:22" ht="4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8314</v>
      </c>
      <c r="R2924" t="s">
        <v>8356</v>
      </c>
      <c r="S2924" s="14">
        <f t="shared" si="272"/>
        <v>42097.874155092592</v>
      </c>
      <c r="T2924" s="14">
        <f t="shared" si="273"/>
        <v>42142.874155092592</v>
      </c>
      <c r="U2924" s="64">
        <f t="shared" si="274"/>
        <v>45</v>
      </c>
      <c r="V2924" s="13" t="str">
        <f t="shared" si="275"/>
        <v>funded</v>
      </c>
    </row>
    <row r="2925" spans="1:22" ht="48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8314</v>
      </c>
      <c r="R2925" t="s">
        <v>8356</v>
      </c>
      <c r="S2925" s="14">
        <f t="shared" si="272"/>
        <v>42013.15253472222</v>
      </c>
      <c r="T2925" s="14">
        <f t="shared" si="273"/>
        <v>42028.125</v>
      </c>
      <c r="U2925" s="64">
        <f t="shared" si="274"/>
        <v>14.972465277780429</v>
      </c>
      <c r="V2925" s="13" t="str">
        <f t="shared" si="275"/>
        <v>funded</v>
      </c>
    </row>
    <row r="2926" spans="1:22" ht="48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8314</v>
      </c>
      <c r="R2926" t="s">
        <v>8356</v>
      </c>
      <c r="S2926" s="14">
        <f t="shared" si="272"/>
        <v>42103.556828703702</v>
      </c>
      <c r="T2926" s="14">
        <f t="shared" si="273"/>
        <v>42133.165972222225</v>
      </c>
      <c r="U2926" s="64">
        <f t="shared" si="274"/>
        <v>29.609143518522615</v>
      </c>
      <c r="V2926" s="13" t="str">
        <f t="shared" si="275"/>
        <v>funded</v>
      </c>
    </row>
    <row r="2927" spans="1:22" ht="48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8314</v>
      </c>
      <c r="R2927" t="s">
        <v>8356</v>
      </c>
      <c r="S2927" s="14">
        <f t="shared" si="272"/>
        <v>41863.584120370368</v>
      </c>
      <c r="T2927" s="14">
        <f t="shared" si="273"/>
        <v>41893.584120370368</v>
      </c>
      <c r="U2927" s="64">
        <f t="shared" si="274"/>
        <v>30</v>
      </c>
      <c r="V2927" s="13" t="str">
        <f t="shared" si="275"/>
        <v>funded</v>
      </c>
    </row>
    <row r="2928" spans="1:22" ht="48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8314</v>
      </c>
      <c r="R2928" t="s">
        <v>8356</v>
      </c>
      <c r="S2928" s="14">
        <f t="shared" si="272"/>
        <v>42044.765960648147</v>
      </c>
      <c r="T2928" s="14">
        <f t="shared" si="273"/>
        <v>42058.765960648147</v>
      </c>
      <c r="U2928" s="64">
        <f t="shared" si="274"/>
        <v>14</v>
      </c>
      <c r="V2928" s="13" t="str">
        <f t="shared" si="275"/>
        <v>funded</v>
      </c>
    </row>
    <row r="2929" spans="1:22" ht="48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8314</v>
      </c>
      <c r="R2929" t="s">
        <v>8356</v>
      </c>
      <c r="S2929" s="14">
        <f t="shared" si="272"/>
        <v>41806.669317129628</v>
      </c>
      <c r="T2929" s="14">
        <f t="shared" si="273"/>
        <v>41835.208333333336</v>
      </c>
      <c r="U2929" s="64">
        <f t="shared" si="274"/>
        <v>28.539016203707433</v>
      </c>
      <c r="V2929" s="13" t="str">
        <f t="shared" si="275"/>
        <v>funded</v>
      </c>
    </row>
    <row r="2930" spans="1:22" ht="3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8314</v>
      </c>
      <c r="R2930" t="s">
        <v>8356</v>
      </c>
      <c r="S2930" s="14">
        <f t="shared" si="272"/>
        <v>42403.998217592598</v>
      </c>
      <c r="T2930" s="14">
        <f t="shared" si="273"/>
        <v>42433.998217592598</v>
      </c>
      <c r="U2930" s="64">
        <f t="shared" si="274"/>
        <v>30</v>
      </c>
      <c r="V2930" s="13" t="str">
        <f t="shared" si="275"/>
        <v>funded</v>
      </c>
    </row>
    <row r="2931" spans="1:22" ht="48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8314</v>
      </c>
      <c r="R2931" t="s">
        <v>8356</v>
      </c>
      <c r="S2931" s="14">
        <f t="shared" si="272"/>
        <v>41754.564328703702</v>
      </c>
      <c r="T2931" s="14">
        <f t="shared" si="273"/>
        <v>41784.564328703702</v>
      </c>
      <c r="U2931" s="64">
        <f t="shared" si="274"/>
        <v>30</v>
      </c>
      <c r="V2931" s="13" t="str">
        <f t="shared" si="275"/>
        <v>funded</v>
      </c>
    </row>
    <row r="2932" spans="1:22" ht="48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8314</v>
      </c>
      <c r="R2932" t="s">
        <v>8356</v>
      </c>
      <c r="S2932" s="14">
        <f t="shared" si="272"/>
        <v>42101.584074074075</v>
      </c>
      <c r="T2932" s="14">
        <f t="shared" si="273"/>
        <v>42131.584074074075</v>
      </c>
      <c r="U2932" s="64">
        <f t="shared" si="274"/>
        <v>30</v>
      </c>
      <c r="V2932" s="13" t="str">
        <f t="shared" si="275"/>
        <v>funded</v>
      </c>
    </row>
    <row r="2933" spans="1:22" ht="48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8314</v>
      </c>
      <c r="R2933" t="s">
        <v>8356</v>
      </c>
      <c r="S2933" s="14">
        <f t="shared" si="272"/>
        <v>41872.291238425925</v>
      </c>
      <c r="T2933" s="14">
        <f t="shared" si="273"/>
        <v>41897.255555555559</v>
      </c>
      <c r="U2933" s="64">
        <f t="shared" si="274"/>
        <v>24.964317129633855</v>
      </c>
      <c r="V2933" s="13" t="str">
        <f t="shared" si="275"/>
        <v>funded</v>
      </c>
    </row>
    <row r="2934" spans="1:22" ht="48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8314</v>
      </c>
      <c r="R2934" t="s">
        <v>8356</v>
      </c>
      <c r="S2934" s="14">
        <f t="shared" si="272"/>
        <v>42025.164780092593</v>
      </c>
      <c r="T2934" s="14">
        <f t="shared" si="273"/>
        <v>42056.458333333328</v>
      </c>
      <c r="U2934" s="64">
        <f t="shared" si="274"/>
        <v>31.293553240735491</v>
      </c>
      <c r="V2934" s="13" t="str">
        <f t="shared" si="275"/>
        <v>funded</v>
      </c>
    </row>
    <row r="2935" spans="1:22" ht="48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8314</v>
      </c>
      <c r="R2935" t="s">
        <v>8356</v>
      </c>
      <c r="S2935" s="14">
        <f t="shared" si="272"/>
        <v>42495.956631944442</v>
      </c>
      <c r="T2935" s="14">
        <f t="shared" si="273"/>
        <v>42525.956631944442</v>
      </c>
      <c r="U2935" s="64">
        <f t="shared" si="274"/>
        <v>30</v>
      </c>
      <c r="V2935" s="13" t="str">
        <f t="shared" si="275"/>
        <v>funded</v>
      </c>
    </row>
    <row r="2936" spans="1:22" ht="48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8314</v>
      </c>
      <c r="R2936" t="s">
        <v>8356</v>
      </c>
      <c r="S2936" s="14">
        <f t="shared" si="272"/>
        <v>41775.636157407411</v>
      </c>
      <c r="T2936" s="14">
        <f t="shared" si="273"/>
        <v>41805.636157407411</v>
      </c>
      <c r="U2936" s="64">
        <f t="shared" si="274"/>
        <v>30</v>
      </c>
      <c r="V2936" s="13" t="str">
        <f t="shared" si="275"/>
        <v>funded</v>
      </c>
    </row>
    <row r="2937" spans="1:22" ht="48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8314</v>
      </c>
      <c r="R2937" t="s">
        <v>8356</v>
      </c>
      <c r="S2937" s="14">
        <f t="shared" si="272"/>
        <v>42553.583425925928</v>
      </c>
      <c r="T2937" s="14">
        <f t="shared" si="273"/>
        <v>42611.708333333328</v>
      </c>
      <c r="U2937" s="64">
        <f t="shared" si="274"/>
        <v>58.124907407400315</v>
      </c>
      <c r="V2937" s="13" t="str">
        <f t="shared" si="275"/>
        <v>funded</v>
      </c>
    </row>
    <row r="2938" spans="1:22" ht="48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8314</v>
      </c>
      <c r="R2938" t="s">
        <v>8356</v>
      </c>
      <c r="S2938" s="14">
        <f t="shared" si="272"/>
        <v>41912.650729166664</v>
      </c>
      <c r="T2938" s="14">
        <f t="shared" si="273"/>
        <v>41925.207638888889</v>
      </c>
      <c r="U2938" s="64">
        <f t="shared" si="274"/>
        <v>12.5569097222251</v>
      </c>
      <c r="V2938" s="13" t="str">
        <f t="shared" si="275"/>
        <v>funded</v>
      </c>
    </row>
    <row r="2939" spans="1:22" ht="3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8314</v>
      </c>
      <c r="R2939" t="s">
        <v>8356</v>
      </c>
      <c r="S2939" s="14">
        <f t="shared" si="272"/>
        <v>41803.457326388889</v>
      </c>
      <c r="T2939" s="14">
        <f t="shared" si="273"/>
        <v>41833.457326388889</v>
      </c>
      <c r="U2939" s="64">
        <f t="shared" si="274"/>
        <v>30</v>
      </c>
      <c r="V2939" s="13" t="str">
        <f t="shared" si="275"/>
        <v>funded</v>
      </c>
    </row>
    <row r="2940" spans="1:22" ht="48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8314</v>
      </c>
      <c r="R2940" t="s">
        <v>8356</v>
      </c>
      <c r="S2940" s="14">
        <f t="shared" si="272"/>
        <v>42004.703865740739</v>
      </c>
      <c r="T2940" s="14">
        <f t="shared" si="273"/>
        <v>42034.703865740739</v>
      </c>
      <c r="U2940" s="64">
        <f t="shared" si="274"/>
        <v>30</v>
      </c>
      <c r="V2940" s="13" t="str">
        <f t="shared" si="275"/>
        <v>funded</v>
      </c>
    </row>
    <row r="2941" spans="1:22" ht="48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8314</v>
      </c>
      <c r="R2941" t="s">
        <v>8356</v>
      </c>
      <c r="S2941" s="14">
        <f t="shared" si="272"/>
        <v>41845.809166666666</v>
      </c>
      <c r="T2941" s="14">
        <f t="shared" si="273"/>
        <v>41879.041666666664</v>
      </c>
      <c r="U2941" s="64">
        <f t="shared" si="274"/>
        <v>33.232499999998254</v>
      </c>
      <c r="V2941" s="13" t="str">
        <f t="shared" si="275"/>
        <v>funded</v>
      </c>
    </row>
    <row r="2942" spans="1:22" ht="48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8314</v>
      </c>
      <c r="R2942" t="s">
        <v>8356</v>
      </c>
      <c r="S2942" s="14">
        <f t="shared" si="272"/>
        <v>41982.773356481484</v>
      </c>
      <c r="T2942" s="14">
        <f t="shared" si="273"/>
        <v>42022.773356481484</v>
      </c>
      <c r="U2942" s="64">
        <f t="shared" si="274"/>
        <v>40</v>
      </c>
      <c r="V2942" s="13" t="str">
        <f t="shared" si="275"/>
        <v>funded</v>
      </c>
    </row>
    <row r="2943" spans="1:22" ht="48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0" t="s">
        <v>8314</v>
      </c>
      <c r="R2943" t="s">
        <v>8354</v>
      </c>
      <c r="S2943" s="14">
        <f t="shared" si="272"/>
        <v>42034.960127314815</v>
      </c>
      <c r="T2943" s="14">
        <f t="shared" si="273"/>
        <v>42064.960127314815</v>
      </c>
      <c r="U2943" s="64">
        <f t="shared" si="274"/>
        <v>30</v>
      </c>
      <c r="V2943" s="13" t="str">
        <f t="shared" si="275"/>
        <v>underfunded</v>
      </c>
    </row>
    <row r="2944" spans="1:22" ht="48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8314</v>
      </c>
      <c r="R2944" t="s">
        <v>8354</v>
      </c>
      <c r="S2944" s="14">
        <f t="shared" si="272"/>
        <v>42334.803923611107</v>
      </c>
      <c r="T2944" s="14">
        <f t="shared" si="273"/>
        <v>42354.845833333333</v>
      </c>
      <c r="U2944" s="64">
        <f t="shared" si="274"/>
        <v>20.041909722225682</v>
      </c>
      <c r="V2944" s="13" t="str">
        <f t="shared" si="275"/>
        <v>underfunded</v>
      </c>
    </row>
    <row r="2945" spans="1:22" ht="48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0" t="s">
        <v>8314</v>
      </c>
      <c r="R2945" t="s">
        <v>8354</v>
      </c>
      <c r="S2945" s="14">
        <f t="shared" si="272"/>
        <v>42077.129398148143</v>
      </c>
      <c r="T2945" s="14">
        <f t="shared" si="273"/>
        <v>42107.129398148143</v>
      </c>
      <c r="U2945" s="64">
        <f t="shared" si="274"/>
        <v>30</v>
      </c>
      <c r="V2945" s="13" t="str">
        <f t="shared" si="275"/>
        <v>underfunded</v>
      </c>
    </row>
    <row r="2946" spans="1:22" ht="3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>
        <f t="shared" si="271"/>
        <v>100</v>
      </c>
      <c r="Q2946" s="10" t="s">
        <v>8314</v>
      </c>
      <c r="R2946" t="s">
        <v>8354</v>
      </c>
      <c r="S2946" s="14">
        <f t="shared" si="272"/>
        <v>42132.9143287037</v>
      </c>
      <c r="T2946" s="14">
        <f t="shared" si="273"/>
        <v>42162.9143287037</v>
      </c>
      <c r="U2946" s="64">
        <f t="shared" si="274"/>
        <v>30</v>
      </c>
      <c r="V2946" s="13" t="str">
        <f t="shared" si="275"/>
        <v>underfunded</v>
      </c>
    </row>
    <row r="2947" spans="1:22" ht="48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6">ROUND(E2947/D2947*100,0)</f>
        <v>0</v>
      </c>
      <c r="P2947">
        <f t="shared" ref="P2947:P3010" si="277">IFERROR(ROUND(E2947/L2947,2), 0)</f>
        <v>0</v>
      </c>
      <c r="Q2947" s="10" t="s">
        <v>8314</v>
      </c>
      <c r="R2947" t="s">
        <v>8354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 s="64">
        <f t="shared" ref="U2947:V3010" si="280">T2947-S2947</f>
        <v>30</v>
      </c>
      <c r="V2947" s="13" t="str">
        <f t="shared" ref="V2947:V3010" si="281">IF(E2947&gt;=D2947, "funded", "underfunded")</f>
        <v>underfunded</v>
      </c>
    </row>
    <row r="2948" spans="1:22" ht="48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0" t="s">
        <v>8314</v>
      </c>
      <c r="R2948" t="s">
        <v>8354</v>
      </c>
      <c r="S2948" s="14">
        <f t="shared" si="278"/>
        <v>42567.531157407408</v>
      </c>
      <c r="T2948" s="14">
        <f t="shared" si="279"/>
        <v>42597.531157407408</v>
      </c>
      <c r="U2948" s="64">
        <f t="shared" si="280"/>
        <v>30</v>
      </c>
      <c r="V2948" s="13" t="str">
        <f t="shared" si="281"/>
        <v>underfunded</v>
      </c>
    </row>
    <row r="2949" spans="1:22" ht="48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8314</v>
      </c>
      <c r="R2949" t="s">
        <v>8354</v>
      </c>
      <c r="S2949" s="14">
        <f t="shared" si="278"/>
        <v>42649.562118055561</v>
      </c>
      <c r="T2949" s="14">
        <f t="shared" si="279"/>
        <v>42698.715972222228</v>
      </c>
      <c r="U2949" s="64">
        <f t="shared" si="280"/>
        <v>49.153854166666861</v>
      </c>
      <c r="V2949" s="13" t="str">
        <f t="shared" si="281"/>
        <v>underfunded</v>
      </c>
    </row>
    <row r="2950" spans="1:22" ht="48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0" t="s">
        <v>8314</v>
      </c>
      <c r="R2950" t="s">
        <v>8354</v>
      </c>
      <c r="S2950" s="14">
        <f t="shared" si="278"/>
        <v>42097.649224537032</v>
      </c>
      <c r="T2950" s="14">
        <f t="shared" si="279"/>
        <v>42157.649224537032</v>
      </c>
      <c r="U2950" s="64">
        <f t="shared" si="280"/>
        <v>60</v>
      </c>
      <c r="V2950" s="13" t="str">
        <f t="shared" si="281"/>
        <v>underfunded</v>
      </c>
    </row>
    <row r="2951" spans="1:22" ht="48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8314</v>
      </c>
      <c r="R2951" t="s">
        <v>8354</v>
      </c>
      <c r="S2951" s="14">
        <f t="shared" si="278"/>
        <v>42297.823113425926</v>
      </c>
      <c r="T2951" s="14">
        <f t="shared" si="279"/>
        <v>42327.864780092597</v>
      </c>
      <c r="U2951" s="64">
        <f t="shared" si="280"/>
        <v>30.041666666671517</v>
      </c>
      <c r="V2951" s="13" t="str">
        <f t="shared" si="281"/>
        <v>underfunded</v>
      </c>
    </row>
    <row r="2952" spans="1:22" ht="48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0" t="s">
        <v>8314</v>
      </c>
      <c r="R2952" t="s">
        <v>8354</v>
      </c>
      <c r="S2952" s="14">
        <f t="shared" si="278"/>
        <v>42362.36518518519</v>
      </c>
      <c r="T2952" s="14">
        <f t="shared" si="279"/>
        <v>42392.36518518519</v>
      </c>
      <c r="U2952" s="64">
        <f t="shared" si="280"/>
        <v>30</v>
      </c>
      <c r="V2952" s="13" t="str">
        <f t="shared" si="281"/>
        <v>underfunded</v>
      </c>
    </row>
    <row r="2953" spans="1:22" ht="6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8314</v>
      </c>
      <c r="R2953" t="s">
        <v>8354</v>
      </c>
      <c r="S2953" s="14">
        <f t="shared" si="278"/>
        <v>41872.802928240737</v>
      </c>
      <c r="T2953" s="14">
        <f t="shared" si="279"/>
        <v>41917.802928240737</v>
      </c>
      <c r="U2953" s="64">
        <f t="shared" si="280"/>
        <v>45</v>
      </c>
      <c r="V2953" s="13" t="str">
        <f t="shared" si="281"/>
        <v>underfunded</v>
      </c>
    </row>
    <row r="2954" spans="1:22" ht="48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8314</v>
      </c>
      <c r="R2954" t="s">
        <v>8354</v>
      </c>
      <c r="S2954" s="14">
        <f t="shared" si="278"/>
        <v>42628.690266203703</v>
      </c>
      <c r="T2954" s="14">
        <f t="shared" si="279"/>
        <v>42660.166666666672</v>
      </c>
      <c r="U2954" s="64">
        <f t="shared" si="280"/>
        <v>31.476400462968741</v>
      </c>
      <c r="V2954" s="13" t="str">
        <f t="shared" si="281"/>
        <v>underfunded</v>
      </c>
    </row>
    <row r="2955" spans="1:22" ht="48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0" t="s">
        <v>8314</v>
      </c>
      <c r="R2955" t="s">
        <v>8354</v>
      </c>
      <c r="S2955" s="14">
        <f t="shared" si="278"/>
        <v>42255.791909722218</v>
      </c>
      <c r="T2955" s="14">
        <f t="shared" si="279"/>
        <v>42285.791909722218</v>
      </c>
      <c r="U2955" s="64">
        <f t="shared" si="280"/>
        <v>30</v>
      </c>
      <c r="V2955" s="13" t="str">
        <f t="shared" si="281"/>
        <v>underfunded</v>
      </c>
    </row>
    <row r="2956" spans="1:22" ht="48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0" t="s">
        <v>8314</v>
      </c>
      <c r="R2956" t="s">
        <v>8354</v>
      </c>
      <c r="S2956" s="14">
        <f t="shared" si="278"/>
        <v>42790.583368055552</v>
      </c>
      <c r="T2956" s="14">
        <f t="shared" si="279"/>
        <v>42810.541701388895</v>
      </c>
      <c r="U2956" s="64">
        <f t="shared" si="280"/>
        <v>19.958333333343035</v>
      </c>
      <c r="V2956" s="13" t="str">
        <f t="shared" si="281"/>
        <v>underfunded</v>
      </c>
    </row>
    <row r="2957" spans="1:22" ht="3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8314</v>
      </c>
      <c r="R2957" t="s">
        <v>8354</v>
      </c>
      <c r="S2957" s="14">
        <f t="shared" si="278"/>
        <v>42141.741307870368</v>
      </c>
      <c r="T2957" s="14">
        <f t="shared" si="279"/>
        <v>42171.741307870368</v>
      </c>
      <c r="U2957" s="64">
        <f t="shared" si="280"/>
        <v>30</v>
      </c>
      <c r="V2957" s="13" t="str">
        <f t="shared" si="281"/>
        <v>underfunded</v>
      </c>
    </row>
    <row r="2958" spans="1:22" ht="48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8314</v>
      </c>
      <c r="R2958" t="s">
        <v>8354</v>
      </c>
      <c r="S2958" s="14">
        <f t="shared" si="278"/>
        <v>42464.958912037036</v>
      </c>
      <c r="T2958" s="14">
        <f t="shared" si="279"/>
        <v>42494.958912037036</v>
      </c>
      <c r="U2958" s="64">
        <f t="shared" si="280"/>
        <v>30</v>
      </c>
      <c r="V2958" s="13" t="str">
        <f t="shared" si="281"/>
        <v>underfunded</v>
      </c>
    </row>
    <row r="2959" spans="1:22" ht="48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8314</v>
      </c>
      <c r="R2959" t="s">
        <v>8354</v>
      </c>
      <c r="S2959" s="14">
        <f t="shared" si="278"/>
        <v>42031.011249999996</v>
      </c>
      <c r="T2959" s="14">
        <f t="shared" si="279"/>
        <v>42090.969583333332</v>
      </c>
      <c r="U2959" s="64">
        <f t="shared" si="280"/>
        <v>59.958333333335759</v>
      </c>
      <c r="V2959" s="13" t="str">
        <f t="shared" si="281"/>
        <v>underfunded</v>
      </c>
    </row>
    <row r="2960" spans="1:22" ht="48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0" t="s">
        <v>8314</v>
      </c>
      <c r="R2960" t="s">
        <v>8354</v>
      </c>
      <c r="S2960" s="14">
        <f t="shared" si="278"/>
        <v>42438.779131944444</v>
      </c>
      <c r="T2960" s="14">
        <f t="shared" si="279"/>
        <v>42498.73746527778</v>
      </c>
      <c r="U2960" s="64">
        <f t="shared" si="280"/>
        <v>59.958333333335759</v>
      </c>
      <c r="V2960" s="13" t="str">
        <f t="shared" si="281"/>
        <v>underfunded</v>
      </c>
    </row>
    <row r="2961" spans="1:22" ht="48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0" t="s">
        <v>8314</v>
      </c>
      <c r="R2961" t="s">
        <v>8354</v>
      </c>
      <c r="S2961" s="14">
        <f t="shared" si="278"/>
        <v>42498.008391203708</v>
      </c>
      <c r="T2961" s="14">
        <f t="shared" si="279"/>
        <v>42528.008391203708</v>
      </c>
      <c r="U2961" s="64">
        <f t="shared" si="280"/>
        <v>30</v>
      </c>
      <c r="V2961" s="13" t="str">
        <f t="shared" si="281"/>
        <v>underfunded</v>
      </c>
    </row>
    <row r="2962" spans="1:22" ht="48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0" t="s">
        <v>8314</v>
      </c>
      <c r="R2962" t="s">
        <v>8354</v>
      </c>
      <c r="S2962" s="14">
        <f t="shared" si="278"/>
        <v>41863.757210648146</v>
      </c>
      <c r="T2962" s="14">
        <f t="shared" si="279"/>
        <v>41893.757210648146</v>
      </c>
      <c r="U2962" s="64">
        <f t="shared" si="280"/>
        <v>30</v>
      </c>
      <c r="V2962" s="13" t="str">
        <f t="shared" si="281"/>
        <v>underfunded</v>
      </c>
    </row>
    <row r="2963" spans="1:22" ht="48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8314</v>
      </c>
      <c r="R2963" t="s">
        <v>8315</v>
      </c>
      <c r="S2963" s="14">
        <f t="shared" si="278"/>
        <v>42061.212488425925</v>
      </c>
      <c r="T2963" s="14">
        <f t="shared" si="279"/>
        <v>42089.166666666672</v>
      </c>
      <c r="U2963" s="64">
        <f t="shared" si="280"/>
        <v>27.954178240746842</v>
      </c>
      <c r="V2963" s="13" t="str">
        <f t="shared" si="281"/>
        <v>funded</v>
      </c>
    </row>
    <row r="2964" spans="1:22" ht="48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8314</v>
      </c>
      <c r="R2964" t="s">
        <v>8315</v>
      </c>
      <c r="S2964" s="14">
        <f t="shared" si="278"/>
        <v>42036.24428240741</v>
      </c>
      <c r="T2964" s="14">
        <f t="shared" si="279"/>
        <v>42064.290972222225</v>
      </c>
      <c r="U2964" s="64">
        <f t="shared" si="280"/>
        <v>28.046689814815181</v>
      </c>
      <c r="V2964" s="13" t="str">
        <f t="shared" si="281"/>
        <v>funded</v>
      </c>
    </row>
    <row r="2965" spans="1:22" ht="6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8314</v>
      </c>
      <c r="R2965" t="s">
        <v>8315</v>
      </c>
      <c r="S2965" s="14">
        <f t="shared" si="278"/>
        <v>42157.470185185186</v>
      </c>
      <c r="T2965" s="14">
        <f t="shared" si="279"/>
        <v>42187.470185185186</v>
      </c>
      <c r="U2965" s="64">
        <f t="shared" si="280"/>
        <v>30</v>
      </c>
      <c r="V2965" s="13" t="str">
        <f t="shared" si="281"/>
        <v>funded</v>
      </c>
    </row>
    <row r="2966" spans="1:22" ht="48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8314</v>
      </c>
      <c r="R2966" t="s">
        <v>8315</v>
      </c>
      <c r="S2966" s="14">
        <f t="shared" si="278"/>
        <v>41827.909942129627</v>
      </c>
      <c r="T2966" s="14">
        <f t="shared" si="279"/>
        <v>41857.897222222222</v>
      </c>
      <c r="U2966" s="64">
        <f t="shared" si="280"/>
        <v>29.987280092595029</v>
      </c>
      <c r="V2966" s="13" t="str">
        <f t="shared" si="281"/>
        <v>funded</v>
      </c>
    </row>
    <row r="2967" spans="1:22" ht="48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8314</v>
      </c>
      <c r="R2967" t="s">
        <v>8315</v>
      </c>
      <c r="S2967" s="14">
        <f t="shared" si="278"/>
        <v>42162.729548611111</v>
      </c>
      <c r="T2967" s="14">
        <f t="shared" si="279"/>
        <v>42192.729548611111</v>
      </c>
      <c r="U2967" s="64">
        <f t="shared" si="280"/>
        <v>30</v>
      </c>
      <c r="V2967" s="13" t="str">
        <f t="shared" si="281"/>
        <v>funded</v>
      </c>
    </row>
    <row r="2968" spans="1:22" ht="48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8314</v>
      </c>
      <c r="R2968" t="s">
        <v>8315</v>
      </c>
      <c r="S2968" s="14">
        <f t="shared" si="278"/>
        <v>42233.738564814819</v>
      </c>
      <c r="T2968" s="14">
        <f t="shared" si="279"/>
        <v>42263.738564814819</v>
      </c>
      <c r="U2968" s="64">
        <f t="shared" si="280"/>
        <v>30</v>
      </c>
      <c r="V2968" s="13" t="str">
        <f t="shared" si="281"/>
        <v>funded</v>
      </c>
    </row>
    <row r="2969" spans="1:22" ht="48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8314</v>
      </c>
      <c r="R2969" t="s">
        <v>8315</v>
      </c>
      <c r="S2969" s="14">
        <f t="shared" si="278"/>
        <v>42042.197824074072</v>
      </c>
      <c r="T2969" s="14">
        <f t="shared" si="279"/>
        <v>42072.156157407408</v>
      </c>
      <c r="U2969" s="64">
        <f t="shared" si="280"/>
        <v>29.958333333335759</v>
      </c>
      <c r="V2969" s="13" t="str">
        <f t="shared" si="281"/>
        <v>funded</v>
      </c>
    </row>
    <row r="2970" spans="1:22" ht="3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8314</v>
      </c>
      <c r="R2970" t="s">
        <v>8315</v>
      </c>
      <c r="S2970" s="14">
        <f t="shared" si="278"/>
        <v>42585.523842592593</v>
      </c>
      <c r="T2970" s="14">
        <f t="shared" si="279"/>
        <v>42599.165972222225</v>
      </c>
      <c r="U2970" s="64">
        <f t="shared" si="280"/>
        <v>13.642129629632109</v>
      </c>
      <c r="V2970" s="13" t="str">
        <f t="shared" si="281"/>
        <v>funded</v>
      </c>
    </row>
    <row r="2971" spans="1:22" ht="48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8314</v>
      </c>
      <c r="R2971" t="s">
        <v>8315</v>
      </c>
      <c r="S2971" s="14">
        <f t="shared" si="278"/>
        <v>42097.786493055552</v>
      </c>
      <c r="T2971" s="14">
        <f t="shared" si="279"/>
        <v>42127.952083333337</v>
      </c>
      <c r="U2971" s="64">
        <f t="shared" si="280"/>
        <v>30.165590277785668</v>
      </c>
      <c r="V2971" s="13" t="str">
        <f t="shared" si="281"/>
        <v>funded</v>
      </c>
    </row>
    <row r="2972" spans="1:22" ht="48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8314</v>
      </c>
      <c r="R2972" t="s">
        <v>8315</v>
      </c>
      <c r="S2972" s="14">
        <f t="shared" si="278"/>
        <v>41808.669571759259</v>
      </c>
      <c r="T2972" s="14">
        <f t="shared" si="279"/>
        <v>41838.669571759259</v>
      </c>
      <c r="U2972" s="64">
        <f t="shared" si="280"/>
        <v>30</v>
      </c>
      <c r="V2972" s="13" t="str">
        <f t="shared" si="281"/>
        <v>funded</v>
      </c>
    </row>
    <row r="2973" spans="1:22" ht="48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8314</v>
      </c>
      <c r="R2973" t="s">
        <v>8315</v>
      </c>
      <c r="S2973" s="14">
        <f t="shared" si="278"/>
        <v>41852.658310185187</v>
      </c>
      <c r="T2973" s="14">
        <f t="shared" si="279"/>
        <v>41882.658310185187</v>
      </c>
      <c r="U2973" s="64">
        <f t="shared" si="280"/>
        <v>30</v>
      </c>
      <c r="V2973" s="13" t="str">
        <f t="shared" si="281"/>
        <v>funded</v>
      </c>
    </row>
    <row r="2974" spans="1:22" ht="3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8314</v>
      </c>
      <c r="R2974" t="s">
        <v>8315</v>
      </c>
      <c r="S2974" s="14">
        <f t="shared" si="278"/>
        <v>42694.110185185185</v>
      </c>
      <c r="T2974" s="14">
        <f t="shared" si="279"/>
        <v>42709.041666666672</v>
      </c>
      <c r="U2974" s="64">
        <f t="shared" si="280"/>
        <v>14.931481481486117</v>
      </c>
      <c r="V2974" s="13" t="str">
        <f t="shared" si="281"/>
        <v>funded</v>
      </c>
    </row>
    <row r="2975" spans="1:22" ht="48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8314</v>
      </c>
      <c r="R2975" t="s">
        <v>8315</v>
      </c>
      <c r="S2975" s="14">
        <f t="shared" si="278"/>
        <v>42341.818379629629</v>
      </c>
      <c r="T2975" s="14">
        <f t="shared" si="279"/>
        <v>42370.166666666672</v>
      </c>
      <c r="U2975" s="64">
        <f t="shared" si="280"/>
        <v>28.34828703704261</v>
      </c>
      <c r="V2975" s="13" t="str">
        <f t="shared" si="281"/>
        <v>funded</v>
      </c>
    </row>
    <row r="2976" spans="1:22" ht="48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8314</v>
      </c>
      <c r="R2976" t="s">
        <v>8315</v>
      </c>
      <c r="S2976" s="14">
        <f t="shared" si="278"/>
        <v>41880.061006944445</v>
      </c>
      <c r="T2976" s="14">
        <f t="shared" si="279"/>
        <v>41908.065972222219</v>
      </c>
      <c r="U2976" s="64">
        <f t="shared" si="280"/>
        <v>28.004965277774318</v>
      </c>
      <c r="V2976" s="13" t="str">
        <f t="shared" si="281"/>
        <v>funded</v>
      </c>
    </row>
    <row r="2977" spans="1:22" ht="48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8314</v>
      </c>
      <c r="R2977" t="s">
        <v>8315</v>
      </c>
      <c r="S2977" s="14">
        <f t="shared" si="278"/>
        <v>41941.683865740742</v>
      </c>
      <c r="T2977" s="14">
        <f t="shared" si="279"/>
        <v>41970.125</v>
      </c>
      <c r="U2977" s="64">
        <f t="shared" si="280"/>
        <v>28.441134259257524</v>
      </c>
      <c r="V2977" s="13" t="str">
        <f t="shared" si="281"/>
        <v>funded</v>
      </c>
    </row>
    <row r="2978" spans="1:22" ht="48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8314</v>
      </c>
      <c r="R2978" t="s">
        <v>8315</v>
      </c>
      <c r="S2978" s="14">
        <f t="shared" si="278"/>
        <v>42425.730671296296</v>
      </c>
      <c r="T2978" s="14">
        <f t="shared" si="279"/>
        <v>42442.5</v>
      </c>
      <c r="U2978" s="64">
        <f t="shared" si="280"/>
        <v>16.76932870370365</v>
      </c>
      <c r="V2978" s="13" t="str">
        <f t="shared" si="281"/>
        <v>funded</v>
      </c>
    </row>
    <row r="2979" spans="1:22" ht="6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8314</v>
      </c>
      <c r="R2979" t="s">
        <v>8315</v>
      </c>
      <c r="S2979" s="14">
        <f t="shared" si="278"/>
        <v>42026.88118055556</v>
      </c>
      <c r="T2979" s="14">
        <f t="shared" si="279"/>
        <v>42086.093055555553</v>
      </c>
      <c r="U2979" s="64">
        <f t="shared" si="280"/>
        <v>59.211874999993597</v>
      </c>
      <c r="V2979" s="13" t="str">
        <f t="shared" si="281"/>
        <v>funded</v>
      </c>
    </row>
    <row r="2980" spans="1:22" ht="48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8314</v>
      </c>
      <c r="R2980" t="s">
        <v>8315</v>
      </c>
      <c r="S2980" s="14">
        <f t="shared" si="278"/>
        <v>41922.640590277777</v>
      </c>
      <c r="T2980" s="14">
        <f t="shared" si="279"/>
        <v>41932.249305555553</v>
      </c>
      <c r="U2980" s="64">
        <f t="shared" si="280"/>
        <v>9.6087152777763549</v>
      </c>
      <c r="V2980" s="13" t="str">
        <f t="shared" si="281"/>
        <v>funded</v>
      </c>
    </row>
    <row r="2981" spans="1:22" ht="48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8314</v>
      </c>
      <c r="R2981" t="s">
        <v>8315</v>
      </c>
      <c r="S2981" s="14">
        <f t="shared" si="278"/>
        <v>41993.824340277773</v>
      </c>
      <c r="T2981" s="14">
        <f t="shared" si="279"/>
        <v>42010.25</v>
      </c>
      <c r="U2981" s="64">
        <f t="shared" si="280"/>
        <v>16.425659722226555</v>
      </c>
      <c r="V2981" s="13" t="str">
        <f t="shared" si="281"/>
        <v>funded</v>
      </c>
    </row>
    <row r="2982" spans="1:22" ht="48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8314</v>
      </c>
      <c r="R2982" t="s">
        <v>8315</v>
      </c>
      <c r="S2982" s="14">
        <f t="shared" si="278"/>
        <v>42219.915856481486</v>
      </c>
      <c r="T2982" s="14">
        <f t="shared" si="279"/>
        <v>42240.083333333328</v>
      </c>
      <c r="U2982" s="64">
        <f t="shared" si="280"/>
        <v>20.167476851842366</v>
      </c>
      <c r="V2982" s="13" t="str">
        <f t="shared" si="281"/>
        <v>funded</v>
      </c>
    </row>
    <row r="2983" spans="1:22" ht="48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8314</v>
      </c>
      <c r="R2983" t="s">
        <v>8354</v>
      </c>
      <c r="S2983" s="14">
        <f t="shared" si="278"/>
        <v>42225.559675925921</v>
      </c>
      <c r="T2983" s="14">
        <f t="shared" si="279"/>
        <v>42270.559675925921</v>
      </c>
      <c r="U2983" s="64">
        <f t="shared" si="280"/>
        <v>45</v>
      </c>
      <c r="V2983" s="13" t="str">
        <f t="shared" si="281"/>
        <v>funded</v>
      </c>
    </row>
    <row r="2984" spans="1:22" ht="3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8314</v>
      </c>
      <c r="R2984" t="s">
        <v>8354</v>
      </c>
      <c r="S2984" s="14">
        <f t="shared" si="278"/>
        <v>42381.686840277776</v>
      </c>
      <c r="T2984" s="14">
        <f t="shared" si="279"/>
        <v>42411.686840277776</v>
      </c>
      <c r="U2984" s="64">
        <f t="shared" si="280"/>
        <v>30</v>
      </c>
      <c r="V2984" s="13" t="str">
        <f t="shared" si="281"/>
        <v>funded</v>
      </c>
    </row>
    <row r="2985" spans="1:22" ht="48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8314</v>
      </c>
      <c r="R2985" t="s">
        <v>8354</v>
      </c>
      <c r="S2985" s="14">
        <f t="shared" si="278"/>
        <v>41894.632361111115</v>
      </c>
      <c r="T2985" s="14">
        <f t="shared" si="279"/>
        <v>41954.674027777779</v>
      </c>
      <c r="U2985" s="64">
        <f t="shared" si="280"/>
        <v>60.041666666664241</v>
      </c>
      <c r="V2985" s="13" t="str">
        <f t="shared" si="281"/>
        <v>funded</v>
      </c>
    </row>
    <row r="2986" spans="1:22" ht="48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8314</v>
      </c>
      <c r="R2986" t="s">
        <v>8354</v>
      </c>
      <c r="S2986" s="14">
        <f t="shared" si="278"/>
        <v>42576.278715277775</v>
      </c>
      <c r="T2986" s="14">
        <f t="shared" si="279"/>
        <v>42606.278715277775</v>
      </c>
      <c r="U2986" s="64">
        <f t="shared" si="280"/>
        <v>30</v>
      </c>
      <c r="V2986" s="13" t="str">
        <f t="shared" si="281"/>
        <v>funded</v>
      </c>
    </row>
    <row r="2987" spans="1:22" ht="48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8314</v>
      </c>
      <c r="R2987" t="s">
        <v>8354</v>
      </c>
      <c r="S2987" s="14">
        <f t="shared" si="278"/>
        <v>42654.973703703698</v>
      </c>
      <c r="T2987" s="14">
        <f t="shared" si="279"/>
        <v>42674.166666666672</v>
      </c>
      <c r="U2987" s="64">
        <f t="shared" si="280"/>
        <v>19.192962962973979</v>
      </c>
      <c r="V2987" s="13" t="str">
        <f t="shared" si="281"/>
        <v>funded</v>
      </c>
    </row>
    <row r="2988" spans="1:22" ht="48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8314</v>
      </c>
      <c r="R2988" t="s">
        <v>8354</v>
      </c>
      <c r="S2988" s="14">
        <f t="shared" si="278"/>
        <v>42431.500069444446</v>
      </c>
      <c r="T2988" s="14">
        <f t="shared" si="279"/>
        <v>42491.458402777775</v>
      </c>
      <c r="U2988" s="64">
        <f t="shared" si="280"/>
        <v>59.958333333328483</v>
      </c>
      <c r="V2988" s="13" t="str">
        <f t="shared" si="281"/>
        <v>funded</v>
      </c>
    </row>
    <row r="2989" spans="1:22" ht="48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8314</v>
      </c>
      <c r="R2989" t="s">
        <v>8354</v>
      </c>
      <c r="S2989" s="14">
        <f t="shared" si="278"/>
        <v>42627.307303240741</v>
      </c>
      <c r="T2989" s="14">
        <f t="shared" si="279"/>
        <v>42656</v>
      </c>
      <c r="U2989" s="64">
        <f t="shared" si="280"/>
        <v>28.692696759258979</v>
      </c>
      <c r="V2989" s="13" t="str">
        <f t="shared" si="281"/>
        <v>funded</v>
      </c>
    </row>
    <row r="2990" spans="1:22" ht="48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8314</v>
      </c>
      <c r="R2990" t="s">
        <v>8354</v>
      </c>
      <c r="S2990" s="14">
        <f t="shared" si="278"/>
        <v>42511.362048611118</v>
      </c>
      <c r="T2990" s="14">
        <f t="shared" si="279"/>
        <v>42541.362048611118</v>
      </c>
      <c r="U2990" s="64">
        <f t="shared" si="280"/>
        <v>30</v>
      </c>
      <c r="V2990" s="13" t="str">
        <f t="shared" si="281"/>
        <v>funded</v>
      </c>
    </row>
    <row r="2991" spans="1:22" ht="16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8314</v>
      </c>
      <c r="R2991" t="s">
        <v>8354</v>
      </c>
      <c r="S2991" s="14">
        <f t="shared" si="278"/>
        <v>42337.02039351852</v>
      </c>
      <c r="T2991" s="14">
        <f t="shared" si="279"/>
        <v>42359.207638888889</v>
      </c>
      <c r="U2991" s="64">
        <f t="shared" si="280"/>
        <v>22.187245370369055</v>
      </c>
      <c r="V2991" s="13" t="str">
        <f t="shared" si="281"/>
        <v>funded</v>
      </c>
    </row>
    <row r="2992" spans="1:22" ht="48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8314</v>
      </c>
      <c r="R2992" t="s">
        <v>8354</v>
      </c>
      <c r="S2992" s="14">
        <f t="shared" si="278"/>
        <v>42341.57430555555</v>
      </c>
      <c r="T2992" s="14">
        <f t="shared" si="279"/>
        <v>42376.57430555555</v>
      </c>
      <c r="U2992" s="64">
        <f t="shared" si="280"/>
        <v>35</v>
      </c>
      <c r="V2992" s="13" t="str">
        <f t="shared" si="281"/>
        <v>funded</v>
      </c>
    </row>
    <row r="2993" spans="1:22" ht="48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8314</v>
      </c>
      <c r="R2993" t="s">
        <v>8354</v>
      </c>
      <c r="S2993" s="14">
        <f t="shared" si="278"/>
        <v>42740.837152777778</v>
      </c>
      <c r="T2993" s="14">
        <f t="shared" si="279"/>
        <v>42762.837152777778</v>
      </c>
      <c r="U2993" s="64">
        <f t="shared" si="280"/>
        <v>22</v>
      </c>
      <c r="V2993" s="13" t="str">
        <f t="shared" si="281"/>
        <v>funded</v>
      </c>
    </row>
    <row r="2994" spans="1:22" ht="48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8314</v>
      </c>
      <c r="R2994" t="s">
        <v>8354</v>
      </c>
      <c r="S2994" s="14">
        <f t="shared" si="278"/>
        <v>42622.767476851848</v>
      </c>
      <c r="T2994" s="14">
        <f t="shared" si="279"/>
        <v>42652.767476851848</v>
      </c>
      <c r="U2994" s="64">
        <f t="shared" si="280"/>
        <v>30</v>
      </c>
      <c r="V2994" s="13" t="str">
        <f t="shared" si="281"/>
        <v>funded</v>
      </c>
    </row>
    <row r="2995" spans="1:22" ht="16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8314</v>
      </c>
      <c r="R2995" t="s">
        <v>8354</v>
      </c>
      <c r="S2995" s="14">
        <f t="shared" si="278"/>
        <v>42390.838738425926</v>
      </c>
      <c r="T2995" s="14">
        <f t="shared" si="279"/>
        <v>42420.838738425926</v>
      </c>
      <c r="U2995" s="64">
        <f t="shared" si="280"/>
        <v>30</v>
      </c>
      <c r="V2995" s="13" t="str">
        <f t="shared" si="281"/>
        <v>funded</v>
      </c>
    </row>
    <row r="2996" spans="1:22" ht="48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8314</v>
      </c>
      <c r="R2996" t="s">
        <v>8354</v>
      </c>
      <c r="S2996" s="14">
        <f t="shared" si="278"/>
        <v>41885.478842592594</v>
      </c>
      <c r="T2996" s="14">
        <f t="shared" si="279"/>
        <v>41915.478842592594</v>
      </c>
      <c r="U2996" s="64">
        <f t="shared" si="280"/>
        <v>30</v>
      </c>
      <c r="V2996" s="13" t="str">
        <f t="shared" si="281"/>
        <v>funded</v>
      </c>
    </row>
    <row r="2997" spans="1:22" ht="48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8314</v>
      </c>
      <c r="R2997" t="s">
        <v>8354</v>
      </c>
      <c r="S2997" s="14">
        <f t="shared" si="278"/>
        <v>42724.665173611109</v>
      </c>
      <c r="T2997" s="14">
        <f t="shared" si="279"/>
        <v>42754.665173611109</v>
      </c>
      <c r="U2997" s="64">
        <f t="shared" si="280"/>
        <v>30</v>
      </c>
      <c r="V2997" s="13" t="str">
        <f t="shared" si="281"/>
        <v>funded</v>
      </c>
    </row>
    <row r="2998" spans="1:22" ht="3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8314</v>
      </c>
      <c r="R2998" t="s">
        <v>8354</v>
      </c>
      <c r="S2998" s="14">
        <f t="shared" si="278"/>
        <v>42090.912500000006</v>
      </c>
      <c r="T2998" s="14">
        <f t="shared" si="279"/>
        <v>42150.912500000006</v>
      </c>
      <c r="U2998" s="64">
        <f t="shared" si="280"/>
        <v>60</v>
      </c>
      <c r="V2998" s="13" t="str">
        <f t="shared" si="281"/>
        <v>funded</v>
      </c>
    </row>
    <row r="2999" spans="1:22" ht="48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8314</v>
      </c>
      <c r="R2999" t="s">
        <v>8354</v>
      </c>
      <c r="S2999" s="14">
        <f t="shared" si="278"/>
        <v>42775.733715277776</v>
      </c>
      <c r="T2999" s="14">
        <f t="shared" si="279"/>
        <v>42793.207638888889</v>
      </c>
      <c r="U2999" s="64">
        <f t="shared" si="280"/>
        <v>17.473923611112696</v>
      </c>
      <c r="V2999" s="13" t="str">
        <f t="shared" si="281"/>
        <v>funded</v>
      </c>
    </row>
    <row r="3000" spans="1:22" ht="48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8314</v>
      </c>
      <c r="R3000" t="s">
        <v>8354</v>
      </c>
      <c r="S3000" s="14">
        <f t="shared" si="278"/>
        <v>41778.193622685183</v>
      </c>
      <c r="T3000" s="14">
        <f t="shared" si="279"/>
        <v>41806.184027777781</v>
      </c>
      <c r="U3000" s="64">
        <f t="shared" si="280"/>
        <v>27.990405092597939</v>
      </c>
      <c r="V3000" s="13" t="str">
        <f t="shared" si="281"/>
        <v>funded</v>
      </c>
    </row>
    <row r="3001" spans="1:22" ht="48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8314</v>
      </c>
      <c r="R3001" t="s">
        <v>8354</v>
      </c>
      <c r="S3001" s="14">
        <f t="shared" si="278"/>
        <v>42780.740277777775</v>
      </c>
      <c r="T3001" s="14">
        <f t="shared" si="279"/>
        <v>42795.083333333328</v>
      </c>
      <c r="U3001" s="64">
        <f t="shared" si="280"/>
        <v>14.343055555553292</v>
      </c>
      <c r="V3001" s="13" t="str">
        <f t="shared" si="281"/>
        <v>funded</v>
      </c>
    </row>
    <row r="3002" spans="1:22" ht="48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8314</v>
      </c>
      <c r="R3002" t="s">
        <v>8354</v>
      </c>
      <c r="S3002" s="14">
        <f t="shared" si="278"/>
        <v>42752.827199074076</v>
      </c>
      <c r="T3002" s="14">
        <f t="shared" si="279"/>
        <v>42766.75</v>
      </c>
      <c r="U3002" s="64">
        <f t="shared" si="280"/>
        <v>13.922800925924093</v>
      </c>
      <c r="V3002" s="13" t="str">
        <f t="shared" si="281"/>
        <v>funded</v>
      </c>
    </row>
    <row r="3003" spans="1:22" ht="48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8314</v>
      </c>
      <c r="R3003" t="s">
        <v>8354</v>
      </c>
      <c r="S3003" s="14">
        <f t="shared" si="278"/>
        <v>42534.895625000005</v>
      </c>
      <c r="T3003" s="14">
        <f t="shared" si="279"/>
        <v>42564.895625000005</v>
      </c>
      <c r="U3003" s="64">
        <f t="shared" si="280"/>
        <v>30</v>
      </c>
      <c r="V3003" s="13" t="str">
        <f t="shared" si="281"/>
        <v>funded</v>
      </c>
    </row>
    <row r="3004" spans="1:22" ht="3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8314</v>
      </c>
      <c r="R3004" t="s">
        <v>8354</v>
      </c>
      <c r="S3004" s="14">
        <f t="shared" si="278"/>
        <v>41239.83625</v>
      </c>
      <c r="T3004" s="14">
        <f t="shared" si="279"/>
        <v>41269.83625</v>
      </c>
      <c r="U3004" s="64">
        <f t="shared" si="280"/>
        <v>30</v>
      </c>
      <c r="V3004" s="13" t="str">
        <f t="shared" si="281"/>
        <v>funded</v>
      </c>
    </row>
    <row r="3005" spans="1:22" ht="48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8314</v>
      </c>
      <c r="R3005" t="s">
        <v>8354</v>
      </c>
      <c r="S3005" s="14">
        <f t="shared" si="278"/>
        <v>42398.849259259259</v>
      </c>
      <c r="T3005" s="14">
        <f t="shared" si="279"/>
        <v>42430.249305555553</v>
      </c>
      <c r="U3005" s="64">
        <f t="shared" si="280"/>
        <v>31.400046296294022</v>
      </c>
      <c r="V3005" s="13" t="str">
        <f t="shared" si="281"/>
        <v>funded</v>
      </c>
    </row>
    <row r="3006" spans="1:22" ht="48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8314</v>
      </c>
      <c r="R3006" t="s">
        <v>8354</v>
      </c>
      <c r="S3006" s="14">
        <f t="shared" si="278"/>
        <v>41928.881064814814</v>
      </c>
      <c r="T3006" s="14">
        <f t="shared" si="279"/>
        <v>41958.922731481478</v>
      </c>
      <c r="U3006" s="64">
        <f t="shared" si="280"/>
        <v>30.041666666664241</v>
      </c>
      <c r="V3006" s="13" t="str">
        <f t="shared" si="281"/>
        <v>funded</v>
      </c>
    </row>
    <row r="3007" spans="1:22" ht="48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8314</v>
      </c>
      <c r="R3007" t="s">
        <v>8354</v>
      </c>
      <c r="S3007" s="14">
        <f t="shared" si="278"/>
        <v>41888.674826388888</v>
      </c>
      <c r="T3007" s="14">
        <f t="shared" si="279"/>
        <v>41918.674826388888</v>
      </c>
      <c r="U3007" s="64">
        <f t="shared" si="280"/>
        <v>30</v>
      </c>
      <c r="V3007" s="13" t="str">
        <f t="shared" si="281"/>
        <v>funded</v>
      </c>
    </row>
    <row r="3008" spans="1:22" ht="3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8314</v>
      </c>
      <c r="R3008" t="s">
        <v>8354</v>
      </c>
      <c r="S3008" s="14">
        <f t="shared" si="278"/>
        <v>41957.756840277783</v>
      </c>
      <c r="T3008" s="14">
        <f t="shared" si="279"/>
        <v>41987.756840277783</v>
      </c>
      <c r="U3008" s="64">
        <f t="shared" si="280"/>
        <v>30</v>
      </c>
      <c r="V3008" s="13" t="str">
        <f t="shared" si="281"/>
        <v>funded</v>
      </c>
    </row>
    <row r="3009" spans="1:22" ht="3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8314</v>
      </c>
      <c r="R3009" t="s">
        <v>8354</v>
      </c>
      <c r="S3009" s="14">
        <f t="shared" si="278"/>
        <v>42098.216238425928</v>
      </c>
      <c r="T3009" s="14">
        <f t="shared" si="279"/>
        <v>42119.216238425928</v>
      </c>
      <c r="U3009" s="64">
        <f t="shared" si="280"/>
        <v>21</v>
      </c>
      <c r="V3009" s="13" t="str">
        <f t="shared" si="281"/>
        <v>funded</v>
      </c>
    </row>
    <row r="3010" spans="1:22" ht="48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>
        <f t="shared" si="277"/>
        <v>116.73</v>
      </c>
      <c r="Q3010" s="10" t="s">
        <v>8314</v>
      </c>
      <c r="R3010" t="s">
        <v>8354</v>
      </c>
      <c r="S3010" s="14">
        <f t="shared" si="278"/>
        <v>42360.212025462963</v>
      </c>
      <c r="T3010" s="14">
        <f t="shared" si="279"/>
        <v>42390.212025462963</v>
      </c>
      <c r="U3010" s="64">
        <f t="shared" si="280"/>
        <v>30</v>
      </c>
      <c r="V3010" s="13" t="str">
        <f t="shared" si="281"/>
        <v>funded</v>
      </c>
    </row>
    <row r="3011" spans="1:22" ht="48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>ROUND(E3011/D3011*100,0)</f>
        <v>120</v>
      </c>
      <c r="P3011">
        <f t="shared" ref="P3011:P3074" si="283">IFERROR(ROUND(E3011/L3011,2), 0)</f>
        <v>233.9</v>
      </c>
      <c r="Q3011" s="10" t="s">
        <v>8314</v>
      </c>
      <c r="R3011" t="s">
        <v>8354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 s="64">
        <f t="shared" ref="U3011:V3074" si="286">T3011-S3011</f>
        <v>30.041666666671517</v>
      </c>
      <c r="V3011" s="13" t="str">
        <f t="shared" ref="V3011:V3074" si="287">IF(E3011&gt;=D3011, "funded", "underfunded")</f>
        <v>funded</v>
      </c>
    </row>
    <row r="3012" spans="1:22" ht="48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8314</v>
      </c>
      <c r="R3012" t="s">
        <v>8354</v>
      </c>
      <c r="S3012" s="14">
        <f t="shared" si="284"/>
        <v>41996.832395833335</v>
      </c>
      <c r="T3012" s="14">
        <f t="shared" si="285"/>
        <v>42056.832395833335</v>
      </c>
      <c r="U3012" s="64">
        <f t="shared" si="286"/>
        <v>60</v>
      </c>
      <c r="V3012" s="13" t="str">
        <f t="shared" si="287"/>
        <v>funded</v>
      </c>
    </row>
    <row r="3013" spans="1:22" ht="48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8314</v>
      </c>
      <c r="R3013" t="s">
        <v>8354</v>
      </c>
      <c r="S3013" s="14">
        <f t="shared" si="284"/>
        <v>42334.468935185185</v>
      </c>
      <c r="T3013" s="14">
        <f t="shared" si="285"/>
        <v>42361.957638888889</v>
      </c>
      <c r="U3013" s="64">
        <f t="shared" si="286"/>
        <v>27.488703703704232</v>
      </c>
      <c r="V3013" s="13" t="str">
        <f t="shared" si="287"/>
        <v>funded</v>
      </c>
    </row>
    <row r="3014" spans="1:22" ht="48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8314</v>
      </c>
      <c r="R3014" t="s">
        <v>8354</v>
      </c>
      <c r="S3014" s="14">
        <f t="shared" si="284"/>
        <v>42024.702893518523</v>
      </c>
      <c r="T3014" s="14">
        <f t="shared" si="285"/>
        <v>42045.702893518523</v>
      </c>
      <c r="U3014" s="64">
        <f t="shared" si="286"/>
        <v>21</v>
      </c>
      <c r="V3014" s="13" t="str">
        <f t="shared" si="287"/>
        <v>funded</v>
      </c>
    </row>
    <row r="3015" spans="1:22" ht="48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8314</v>
      </c>
      <c r="R3015" t="s">
        <v>8354</v>
      </c>
      <c r="S3015" s="14">
        <f t="shared" si="284"/>
        <v>42146.836215277777</v>
      </c>
      <c r="T3015" s="14">
        <f t="shared" si="285"/>
        <v>42176.836215277777</v>
      </c>
      <c r="U3015" s="64">
        <f t="shared" si="286"/>
        <v>30</v>
      </c>
      <c r="V3015" s="13" t="str">
        <f t="shared" si="287"/>
        <v>funded</v>
      </c>
    </row>
    <row r="3016" spans="1:22" ht="48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8314</v>
      </c>
      <c r="R3016" t="s">
        <v>8354</v>
      </c>
      <c r="S3016" s="14">
        <f t="shared" si="284"/>
        <v>41920.123611111114</v>
      </c>
      <c r="T3016" s="14">
        <f t="shared" si="285"/>
        <v>41948.208333333336</v>
      </c>
      <c r="U3016" s="64">
        <f t="shared" si="286"/>
        <v>28.084722222221899</v>
      </c>
      <c r="V3016" s="13" t="str">
        <f t="shared" si="287"/>
        <v>funded</v>
      </c>
    </row>
    <row r="3017" spans="1:22" ht="48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8314</v>
      </c>
      <c r="R3017" t="s">
        <v>8354</v>
      </c>
      <c r="S3017" s="14">
        <f t="shared" si="284"/>
        <v>41785.72729166667</v>
      </c>
      <c r="T3017" s="14">
        <f t="shared" si="285"/>
        <v>41801.166666666664</v>
      </c>
      <c r="U3017" s="64">
        <f t="shared" si="286"/>
        <v>15.43937499999447</v>
      </c>
      <c r="V3017" s="13" t="str">
        <f t="shared" si="287"/>
        <v>funded</v>
      </c>
    </row>
    <row r="3018" spans="1:22" ht="48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8314</v>
      </c>
      <c r="R3018" t="s">
        <v>8354</v>
      </c>
      <c r="S3018" s="14">
        <f t="shared" si="284"/>
        <v>41778.548055555555</v>
      </c>
      <c r="T3018" s="14">
        <f t="shared" si="285"/>
        <v>41838.548055555555</v>
      </c>
      <c r="U3018" s="64">
        <f t="shared" si="286"/>
        <v>60</v>
      </c>
      <c r="V3018" s="13" t="str">
        <f t="shared" si="287"/>
        <v>funded</v>
      </c>
    </row>
    <row r="3019" spans="1:22" ht="48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8314</v>
      </c>
      <c r="R3019" t="s">
        <v>8354</v>
      </c>
      <c r="S3019" s="14">
        <f t="shared" si="284"/>
        <v>41841.850034722222</v>
      </c>
      <c r="T3019" s="14">
        <f t="shared" si="285"/>
        <v>41871.850034722222</v>
      </c>
      <c r="U3019" s="64">
        <f t="shared" si="286"/>
        <v>30</v>
      </c>
      <c r="V3019" s="13" t="str">
        <f t="shared" si="287"/>
        <v>funded</v>
      </c>
    </row>
    <row r="3020" spans="1:22" ht="48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8314</v>
      </c>
      <c r="R3020" t="s">
        <v>8354</v>
      </c>
      <c r="S3020" s="14">
        <f t="shared" si="284"/>
        <v>42163.29833333334</v>
      </c>
      <c r="T3020" s="14">
        <f t="shared" si="285"/>
        <v>42205.916666666672</v>
      </c>
      <c r="U3020" s="64">
        <f t="shared" si="286"/>
        <v>42.618333333331975</v>
      </c>
      <c r="V3020" s="13" t="str">
        <f t="shared" si="287"/>
        <v>funded</v>
      </c>
    </row>
    <row r="3021" spans="1:22" ht="48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8314</v>
      </c>
      <c r="R3021" t="s">
        <v>8354</v>
      </c>
      <c r="S3021" s="14">
        <f t="shared" si="284"/>
        <v>41758.833564814813</v>
      </c>
      <c r="T3021" s="14">
        <f t="shared" si="285"/>
        <v>41786.125</v>
      </c>
      <c r="U3021" s="64">
        <f t="shared" si="286"/>
        <v>27.291435185186856</v>
      </c>
      <c r="V3021" s="13" t="str">
        <f t="shared" si="287"/>
        <v>funded</v>
      </c>
    </row>
    <row r="3022" spans="1:22" ht="48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8314</v>
      </c>
      <c r="R3022" t="s">
        <v>8354</v>
      </c>
      <c r="S3022" s="14">
        <f t="shared" si="284"/>
        <v>42170.846446759257</v>
      </c>
      <c r="T3022" s="14">
        <f t="shared" si="285"/>
        <v>42230.846446759257</v>
      </c>
      <c r="U3022" s="64">
        <f t="shared" si="286"/>
        <v>60</v>
      </c>
      <c r="V3022" s="13" t="str">
        <f t="shared" si="287"/>
        <v>funded</v>
      </c>
    </row>
    <row r="3023" spans="1:22" ht="48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8314</v>
      </c>
      <c r="R3023" t="s">
        <v>8354</v>
      </c>
      <c r="S3023" s="14">
        <f t="shared" si="284"/>
        <v>42660.618854166663</v>
      </c>
      <c r="T3023" s="14">
        <f t="shared" si="285"/>
        <v>42696.249305555553</v>
      </c>
      <c r="U3023" s="64">
        <f t="shared" si="286"/>
        <v>35.630451388889924</v>
      </c>
      <c r="V3023" s="13" t="str">
        <f t="shared" si="287"/>
        <v>funded</v>
      </c>
    </row>
    <row r="3024" spans="1:22" ht="48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8314</v>
      </c>
      <c r="R3024" t="s">
        <v>8354</v>
      </c>
      <c r="S3024" s="14">
        <f t="shared" si="284"/>
        <v>42564.95380787037</v>
      </c>
      <c r="T3024" s="14">
        <f t="shared" si="285"/>
        <v>42609.95380787037</v>
      </c>
      <c r="U3024" s="64">
        <f t="shared" si="286"/>
        <v>45</v>
      </c>
      <c r="V3024" s="13" t="str">
        <f t="shared" si="287"/>
        <v>funded</v>
      </c>
    </row>
    <row r="3025" spans="1:22" ht="48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8314</v>
      </c>
      <c r="R3025" t="s">
        <v>8354</v>
      </c>
      <c r="S3025" s="14">
        <f t="shared" si="284"/>
        <v>42121.675763888896</v>
      </c>
      <c r="T3025" s="14">
        <f t="shared" si="285"/>
        <v>42166.675763888896</v>
      </c>
      <c r="U3025" s="64">
        <f t="shared" si="286"/>
        <v>45</v>
      </c>
      <c r="V3025" s="13" t="str">
        <f t="shared" si="287"/>
        <v>funded</v>
      </c>
    </row>
    <row r="3026" spans="1:22" ht="48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8314</v>
      </c>
      <c r="R3026" t="s">
        <v>8354</v>
      </c>
      <c r="S3026" s="14">
        <f t="shared" si="284"/>
        <v>41158.993923611109</v>
      </c>
      <c r="T3026" s="14">
        <f t="shared" si="285"/>
        <v>41188.993923611109</v>
      </c>
      <c r="U3026" s="64">
        <f t="shared" si="286"/>
        <v>30</v>
      </c>
      <c r="V3026" s="13" t="str">
        <f t="shared" si="287"/>
        <v>funded</v>
      </c>
    </row>
    <row r="3027" spans="1:22" ht="48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8314</v>
      </c>
      <c r="R3027" t="s">
        <v>8354</v>
      </c>
      <c r="S3027" s="14">
        <f t="shared" si="284"/>
        <v>41761.509409722225</v>
      </c>
      <c r="T3027" s="14">
        <f t="shared" si="285"/>
        <v>41789.666666666664</v>
      </c>
      <c r="U3027" s="64">
        <f t="shared" si="286"/>
        <v>28.157256944439723</v>
      </c>
      <c r="V3027" s="13" t="str">
        <f t="shared" si="287"/>
        <v>funded</v>
      </c>
    </row>
    <row r="3028" spans="1:22" ht="48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8314</v>
      </c>
      <c r="R3028" t="s">
        <v>8354</v>
      </c>
      <c r="S3028" s="14">
        <f t="shared" si="284"/>
        <v>42783.459398148145</v>
      </c>
      <c r="T3028" s="14">
        <f t="shared" si="285"/>
        <v>42797.459398148145</v>
      </c>
      <c r="U3028" s="64">
        <f t="shared" si="286"/>
        <v>14</v>
      </c>
      <c r="V3028" s="13" t="str">
        <f t="shared" si="287"/>
        <v>funded</v>
      </c>
    </row>
    <row r="3029" spans="1:22" ht="3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8314</v>
      </c>
      <c r="R3029" t="s">
        <v>8354</v>
      </c>
      <c r="S3029" s="14">
        <f t="shared" si="284"/>
        <v>42053.704293981486</v>
      </c>
      <c r="T3029" s="14">
        <f t="shared" si="285"/>
        <v>42083.662627314814</v>
      </c>
      <c r="U3029" s="64">
        <f t="shared" si="286"/>
        <v>29.958333333328483</v>
      </c>
      <c r="V3029" s="13" t="str">
        <f t="shared" si="287"/>
        <v>funded</v>
      </c>
    </row>
    <row r="3030" spans="1:22" ht="3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8314</v>
      </c>
      <c r="R3030" t="s">
        <v>8354</v>
      </c>
      <c r="S3030" s="14">
        <f t="shared" si="284"/>
        <v>42567.264178240745</v>
      </c>
      <c r="T3030" s="14">
        <f t="shared" si="285"/>
        <v>42597.264178240745</v>
      </c>
      <c r="U3030" s="64">
        <f t="shared" si="286"/>
        <v>30</v>
      </c>
      <c r="V3030" s="13" t="str">
        <f t="shared" si="287"/>
        <v>funded</v>
      </c>
    </row>
    <row r="3031" spans="1:22" ht="48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8314</v>
      </c>
      <c r="R3031" t="s">
        <v>8354</v>
      </c>
      <c r="S3031" s="14">
        <f t="shared" si="284"/>
        <v>41932.708877314813</v>
      </c>
      <c r="T3031" s="14">
        <f t="shared" si="285"/>
        <v>41961.190972222219</v>
      </c>
      <c r="U3031" s="64">
        <f t="shared" si="286"/>
        <v>28.482094907405553</v>
      </c>
      <c r="V3031" s="13" t="str">
        <f t="shared" si="287"/>
        <v>funded</v>
      </c>
    </row>
    <row r="3032" spans="1:22" ht="48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8314</v>
      </c>
      <c r="R3032" t="s">
        <v>8354</v>
      </c>
      <c r="S3032" s="14">
        <f t="shared" si="284"/>
        <v>42233.747349537036</v>
      </c>
      <c r="T3032" s="14">
        <f t="shared" si="285"/>
        <v>42263.747349537036</v>
      </c>
      <c r="U3032" s="64">
        <f t="shared" si="286"/>
        <v>30</v>
      </c>
      <c r="V3032" s="13" t="str">
        <f t="shared" si="287"/>
        <v>funded</v>
      </c>
    </row>
    <row r="3033" spans="1:22" ht="80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8314</v>
      </c>
      <c r="R3033" t="s">
        <v>8354</v>
      </c>
      <c r="S3033" s="14">
        <f t="shared" si="284"/>
        <v>42597.882488425923</v>
      </c>
      <c r="T3033" s="14">
        <f t="shared" si="285"/>
        <v>42657.882488425923</v>
      </c>
      <c r="U3033" s="64">
        <f t="shared" si="286"/>
        <v>60</v>
      </c>
      <c r="V3033" s="13" t="str">
        <f t="shared" si="287"/>
        <v>funded</v>
      </c>
    </row>
    <row r="3034" spans="1:22" ht="48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8314</v>
      </c>
      <c r="R3034" t="s">
        <v>8354</v>
      </c>
      <c r="S3034" s="14">
        <f t="shared" si="284"/>
        <v>42228.044664351852</v>
      </c>
      <c r="T3034" s="14">
        <f t="shared" si="285"/>
        <v>42258.044664351852</v>
      </c>
      <c r="U3034" s="64">
        <f t="shared" si="286"/>
        <v>30</v>
      </c>
      <c r="V3034" s="13" t="str">
        <f t="shared" si="287"/>
        <v>funded</v>
      </c>
    </row>
    <row r="3035" spans="1:22" ht="48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8314</v>
      </c>
      <c r="R3035" t="s">
        <v>8354</v>
      </c>
      <c r="S3035" s="14">
        <f t="shared" si="284"/>
        <v>42570.110243055555</v>
      </c>
      <c r="T3035" s="14">
        <f t="shared" si="285"/>
        <v>42600.110243055555</v>
      </c>
      <c r="U3035" s="64">
        <f t="shared" si="286"/>
        <v>30</v>
      </c>
      <c r="V3035" s="13" t="str">
        <f t="shared" si="287"/>
        <v>funded</v>
      </c>
    </row>
    <row r="3036" spans="1:22" ht="6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8314</v>
      </c>
      <c r="R3036" t="s">
        <v>8354</v>
      </c>
      <c r="S3036" s="14">
        <f t="shared" si="284"/>
        <v>42644.535358796296</v>
      </c>
      <c r="T3036" s="14">
        <f t="shared" si="285"/>
        <v>42675.165972222225</v>
      </c>
      <c r="U3036" s="64">
        <f t="shared" si="286"/>
        <v>30.630613425928459</v>
      </c>
      <c r="V3036" s="13" t="str">
        <f t="shared" si="287"/>
        <v>funded</v>
      </c>
    </row>
    <row r="3037" spans="1:22" ht="3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8314</v>
      </c>
      <c r="R3037" t="s">
        <v>8354</v>
      </c>
      <c r="S3037" s="14">
        <f t="shared" si="284"/>
        <v>41368.560289351852</v>
      </c>
      <c r="T3037" s="14">
        <f t="shared" si="285"/>
        <v>41398.560289351852</v>
      </c>
      <c r="U3037" s="64">
        <f t="shared" si="286"/>
        <v>30</v>
      </c>
      <c r="V3037" s="13" t="str">
        <f t="shared" si="287"/>
        <v>funded</v>
      </c>
    </row>
    <row r="3038" spans="1:22" ht="48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8314</v>
      </c>
      <c r="R3038" t="s">
        <v>8354</v>
      </c>
      <c r="S3038" s="14">
        <f t="shared" si="284"/>
        <v>41466.785231481481</v>
      </c>
      <c r="T3038" s="14">
        <f t="shared" si="285"/>
        <v>41502.499305555553</v>
      </c>
      <c r="U3038" s="64">
        <f t="shared" si="286"/>
        <v>35.714074074072414</v>
      </c>
      <c r="V3038" s="13" t="str">
        <f t="shared" si="287"/>
        <v>funded</v>
      </c>
    </row>
    <row r="3039" spans="1:22" ht="6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8314</v>
      </c>
      <c r="R3039" t="s">
        <v>8354</v>
      </c>
      <c r="S3039" s="14">
        <f t="shared" si="284"/>
        <v>40378.893206018518</v>
      </c>
      <c r="T3039" s="14">
        <f t="shared" si="285"/>
        <v>40453.207638888889</v>
      </c>
      <c r="U3039" s="64">
        <f t="shared" si="286"/>
        <v>74.314432870371093</v>
      </c>
      <c r="V3039" s="13" t="str">
        <f t="shared" si="287"/>
        <v>funded</v>
      </c>
    </row>
    <row r="3040" spans="1:22" ht="48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8314</v>
      </c>
      <c r="R3040" t="s">
        <v>8354</v>
      </c>
      <c r="S3040" s="14">
        <f t="shared" si="284"/>
        <v>42373.252280092594</v>
      </c>
      <c r="T3040" s="14">
        <f t="shared" si="285"/>
        <v>42433.252280092594</v>
      </c>
      <c r="U3040" s="64">
        <f t="shared" si="286"/>
        <v>60</v>
      </c>
      <c r="V3040" s="13" t="str">
        <f t="shared" si="287"/>
        <v>funded</v>
      </c>
    </row>
    <row r="3041" spans="1:22" ht="48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8314</v>
      </c>
      <c r="R3041" t="s">
        <v>8354</v>
      </c>
      <c r="S3041" s="14">
        <f t="shared" si="284"/>
        <v>41610.794421296298</v>
      </c>
      <c r="T3041" s="14">
        <f t="shared" si="285"/>
        <v>41637.332638888889</v>
      </c>
      <c r="U3041" s="64">
        <f t="shared" si="286"/>
        <v>26.538217592591536</v>
      </c>
      <c r="V3041" s="13" t="str">
        <f t="shared" si="287"/>
        <v>funded</v>
      </c>
    </row>
    <row r="3042" spans="1:22" ht="48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8314</v>
      </c>
      <c r="R3042" t="s">
        <v>8354</v>
      </c>
      <c r="S3042" s="14">
        <f t="shared" si="284"/>
        <v>42177.791909722218</v>
      </c>
      <c r="T3042" s="14">
        <f t="shared" si="285"/>
        <v>42181.958333333328</v>
      </c>
      <c r="U3042" s="64">
        <f t="shared" si="286"/>
        <v>4.1664236111100763</v>
      </c>
      <c r="V3042" s="13" t="str">
        <f t="shared" si="287"/>
        <v>funded</v>
      </c>
    </row>
    <row r="3043" spans="1:22" ht="3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8314</v>
      </c>
      <c r="R3043" t="s">
        <v>8354</v>
      </c>
      <c r="S3043" s="14">
        <f t="shared" si="284"/>
        <v>42359.868611111116</v>
      </c>
      <c r="T3043" s="14">
        <f t="shared" si="285"/>
        <v>42389.868611111116</v>
      </c>
      <c r="U3043" s="64">
        <f t="shared" si="286"/>
        <v>30</v>
      </c>
      <c r="V3043" s="13" t="str">
        <f t="shared" si="287"/>
        <v>funded</v>
      </c>
    </row>
    <row r="3044" spans="1:22" ht="48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8314</v>
      </c>
      <c r="R3044" t="s">
        <v>8354</v>
      </c>
      <c r="S3044" s="14">
        <f t="shared" si="284"/>
        <v>42253.688043981485</v>
      </c>
      <c r="T3044" s="14">
        <f t="shared" si="285"/>
        <v>42283.688043981485</v>
      </c>
      <c r="U3044" s="64">
        <f t="shared" si="286"/>
        <v>30</v>
      </c>
      <c r="V3044" s="13" t="str">
        <f t="shared" si="287"/>
        <v>funded</v>
      </c>
    </row>
    <row r="3045" spans="1:22" ht="48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8314</v>
      </c>
      <c r="R3045" t="s">
        <v>8354</v>
      </c>
      <c r="S3045" s="14">
        <f t="shared" si="284"/>
        <v>42083.070590277777</v>
      </c>
      <c r="T3045" s="14">
        <f t="shared" si="285"/>
        <v>42110.118055555555</v>
      </c>
      <c r="U3045" s="64">
        <f t="shared" si="286"/>
        <v>27.047465277777519</v>
      </c>
      <c r="V3045" s="13" t="str">
        <f t="shared" si="287"/>
        <v>funded</v>
      </c>
    </row>
    <row r="3046" spans="1:22" ht="48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8314</v>
      </c>
      <c r="R3046" t="s">
        <v>8354</v>
      </c>
      <c r="S3046" s="14">
        <f t="shared" si="284"/>
        <v>42387.7268287037</v>
      </c>
      <c r="T3046" s="14">
        <f t="shared" si="285"/>
        <v>42402.7268287037</v>
      </c>
      <c r="U3046" s="64">
        <f t="shared" si="286"/>
        <v>15</v>
      </c>
      <c r="V3046" s="13" t="str">
        <f t="shared" si="287"/>
        <v>funded</v>
      </c>
    </row>
    <row r="3047" spans="1:22" ht="48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8314</v>
      </c>
      <c r="R3047" t="s">
        <v>8354</v>
      </c>
      <c r="S3047" s="14">
        <f t="shared" si="284"/>
        <v>41843.155729166669</v>
      </c>
      <c r="T3047" s="14">
        <f t="shared" si="285"/>
        <v>41873.155729166669</v>
      </c>
      <c r="U3047" s="64">
        <f t="shared" si="286"/>
        <v>30</v>
      </c>
      <c r="V3047" s="13" t="str">
        <f t="shared" si="287"/>
        <v>funded</v>
      </c>
    </row>
    <row r="3048" spans="1:22" ht="48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8314</v>
      </c>
      <c r="R3048" t="s">
        <v>8354</v>
      </c>
      <c r="S3048" s="14">
        <f t="shared" si="284"/>
        <v>41862.803078703706</v>
      </c>
      <c r="T3048" s="14">
        <f t="shared" si="285"/>
        <v>41892.202777777777</v>
      </c>
      <c r="U3048" s="64">
        <f t="shared" si="286"/>
        <v>29.399699074070668</v>
      </c>
      <c r="V3048" s="13" t="str">
        <f t="shared" si="287"/>
        <v>funded</v>
      </c>
    </row>
    <row r="3049" spans="1:22" ht="48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8314</v>
      </c>
      <c r="R3049" t="s">
        <v>8354</v>
      </c>
      <c r="S3049" s="14">
        <f t="shared" si="284"/>
        <v>42443.989050925928</v>
      </c>
      <c r="T3049" s="14">
        <f t="shared" si="285"/>
        <v>42487.552777777775</v>
      </c>
      <c r="U3049" s="64">
        <f t="shared" si="286"/>
        <v>43.563726851847605</v>
      </c>
      <c r="V3049" s="13" t="str">
        <f t="shared" si="287"/>
        <v>funded</v>
      </c>
    </row>
    <row r="3050" spans="1:22" ht="48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8314</v>
      </c>
      <c r="R3050" t="s">
        <v>8354</v>
      </c>
      <c r="S3050" s="14">
        <f t="shared" si="284"/>
        <v>41975.901180555549</v>
      </c>
      <c r="T3050" s="14">
        <f t="shared" si="285"/>
        <v>42004.890277777777</v>
      </c>
      <c r="U3050" s="64">
        <f t="shared" si="286"/>
        <v>28.989097222227429</v>
      </c>
      <c r="V3050" s="13" t="str">
        <f t="shared" si="287"/>
        <v>funded</v>
      </c>
    </row>
    <row r="3051" spans="1:22" ht="48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8314</v>
      </c>
      <c r="R3051" t="s">
        <v>8354</v>
      </c>
      <c r="S3051" s="14">
        <f t="shared" si="284"/>
        <v>42139.014525462961</v>
      </c>
      <c r="T3051" s="14">
        <f t="shared" si="285"/>
        <v>42169.014525462961</v>
      </c>
      <c r="U3051" s="64">
        <f t="shared" si="286"/>
        <v>30</v>
      </c>
      <c r="V3051" s="13" t="str">
        <f t="shared" si="287"/>
        <v>funded</v>
      </c>
    </row>
    <row r="3052" spans="1:22" ht="3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8314</v>
      </c>
      <c r="R3052" t="s">
        <v>8354</v>
      </c>
      <c r="S3052" s="14">
        <f t="shared" si="284"/>
        <v>42465.16851851852</v>
      </c>
      <c r="T3052" s="14">
        <f t="shared" si="285"/>
        <v>42495.16851851852</v>
      </c>
      <c r="U3052" s="64">
        <f t="shared" si="286"/>
        <v>30</v>
      </c>
      <c r="V3052" s="13" t="str">
        <f t="shared" si="287"/>
        <v>funded</v>
      </c>
    </row>
    <row r="3053" spans="1:22" ht="48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8314</v>
      </c>
      <c r="R3053" t="s">
        <v>8354</v>
      </c>
      <c r="S3053" s="14">
        <f t="shared" si="284"/>
        <v>42744.416030092587</v>
      </c>
      <c r="T3053" s="14">
        <f t="shared" si="285"/>
        <v>42774.416030092587</v>
      </c>
      <c r="U3053" s="64">
        <f t="shared" si="286"/>
        <v>30</v>
      </c>
      <c r="V3053" s="13" t="str">
        <f t="shared" si="287"/>
        <v>underfunded</v>
      </c>
    </row>
    <row r="3054" spans="1:22" ht="3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0" t="s">
        <v>8314</v>
      </c>
      <c r="R3054" t="s">
        <v>8354</v>
      </c>
      <c r="S3054" s="14">
        <f t="shared" si="284"/>
        <v>42122.670069444444</v>
      </c>
      <c r="T3054" s="14">
        <f t="shared" si="285"/>
        <v>42152.665972222225</v>
      </c>
      <c r="U3054" s="64">
        <f t="shared" si="286"/>
        <v>29.995902777780429</v>
      </c>
      <c r="V3054" s="13" t="str">
        <f t="shared" si="287"/>
        <v>underfunded</v>
      </c>
    </row>
    <row r="3055" spans="1:22" ht="48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0" t="s">
        <v>8314</v>
      </c>
      <c r="R3055" t="s">
        <v>8354</v>
      </c>
      <c r="S3055" s="14">
        <f t="shared" si="284"/>
        <v>41862.761724537035</v>
      </c>
      <c r="T3055" s="14">
        <f t="shared" si="285"/>
        <v>41914.165972222225</v>
      </c>
      <c r="U3055" s="64">
        <f t="shared" si="286"/>
        <v>51.404247685190057</v>
      </c>
      <c r="V3055" s="13" t="str">
        <f t="shared" si="287"/>
        <v>underfunded</v>
      </c>
    </row>
    <row r="3056" spans="1:22" ht="48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0" t="s">
        <v>8314</v>
      </c>
      <c r="R3056" t="s">
        <v>8354</v>
      </c>
      <c r="S3056" s="14">
        <f t="shared" si="284"/>
        <v>42027.832800925928</v>
      </c>
      <c r="T3056" s="14">
        <f t="shared" si="285"/>
        <v>42065.044444444444</v>
      </c>
      <c r="U3056" s="64">
        <f t="shared" si="286"/>
        <v>37.211643518516212</v>
      </c>
      <c r="V3056" s="13" t="str">
        <f t="shared" si="287"/>
        <v>underfunded</v>
      </c>
    </row>
    <row r="3057" spans="1:22" ht="48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0" t="s">
        <v>8314</v>
      </c>
      <c r="R3057" t="s">
        <v>8354</v>
      </c>
      <c r="S3057" s="14">
        <f t="shared" si="284"/>
        <v>41953.95821759259</v>
      </c>
      <c r="T3057" s="14">
        <f t="shared" si="285"/>
        <v>42013.95821759259</v>
      </c>
      <c r="U3057" s="64">
        <f t="shared" si="286"/>
        <v>60</v>
      </c>
      <c r="V3057" s="13" t="str">
        <f t="shared" si="287"/>
        <v>underfunded</v>
      </c>
    </row>
    <row r="3058" spans="1:22" ht="48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0" t="s">
        <v>8314</v>
      </c>
      <c r="R3058" t="s">
        <v>8354</v>
      </c>
      <c r="S3058" s="14">
        <f t="shared" si="284"/>
        <v>41851.636388888888</v>
      </c>
      <c r="T3058" s="14">
        <f t="shared" si="285"/>
        <v>41911.636388888888</v>
      </c>
      <c r="U3058" s="64">
        <f t="shared" si="286"/>
        <v>60</v>
      </c>
      <c r="V3058" s="13" t="str">
        <f t="shared" si="287"/>
        <v>underfunded</v>
      </c>
    </row>
    <row r="3059" spans="1:22" ht="48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0" t="s">
        <v>8314</v>
      </c>
      <c r="R3059" t="s">
        <v>8354</v>
      </c>
      <c r="S3059" s="14">
        <f t="shared" si="284"/>
        <v>42433.650590277779</v>
      </c>
      <c r="T3059" s="14">
        <f t="shared" si="285"/>
        <v>42463.608923611115</v>
      </c>
      <c r="U3059" s="64">
        <f t="shared" si="286"/>
        <v>29.958333333335759</v>
      </c>
      <c r="V3059" s="13" t="str">
        <f t="shared" si="287"/>
        <v>underfunded</v>
      </c>
    </row>
    <row r="3060" spans="1:22" ht="48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0" t="s">
        <v>8314</v>
      </c>
      <c r="R3060" t="s">
        <v>8354</v>
      </c>
      <c r="S3060" s="14">
        <f t="shared" si="284"/>
        <v>42460.374305555553</v>
      </c>
      <c r="T3060" s="14">
        <f t="shared" si="285"/>
        <v>42510.374305555553</v>
      </c>
      <c r="U3060" s="64">
        <f t="shared" si="286"/>
        <v>50</v>
      </c>
      <c r="V3060" s="13" t="str">
        <f t="shared" si="287"/>
        <v>underfunded</v>
      </c>
    </row>
    <row r="3061" spans="1:22" ht="48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8314</v>
      </c>
      <c r="R3061" t="s">
        <v>8354</v>
      </c>
      <c r="S3061" s="14">
        <f t="shared" si="284"/>
        <v>41829.935717592591</v>
      </c>
      <c r="T3061" s="14">
        <f t="shared" si="285"/>
        <v>41859.935717592591</v>
      </c>
      <c r="U3061" s="64">
        <f t="shared" si="286"/>
        <v>30</v>
      </c>
      <c r="V3061" s="13" t="str">
        <f t="shared" si="287"/>
        <v>underfunded</v>
      </c>
    </row>
    <row r="3062" spans="1:22" ht="3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0" t="s">
        <v>8314</v>
      </c>
      <c r="R3062" t="s">
        <v>8354</v>
      </c>
      <c r="S3062" s="14">
        <f t="shared" si="284"/>
        <v>42245.274699074071</v>
      </c>
      <c r="T3062" s="14">
        <f t="shared" si="285"/>
        <v>42275.274699074071</v>
      </c>
      <c r="U3062" s="64">
        <f t="shared" si="286"/>
        <v>30</v>
      </c>
      <c r="V3062" s="13" t="str">
        <f t="shared" si="287"/>
        <v>underfunded</v>
      </c>
    </row>
    <row r="3063" spans="1:22" ht="16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0" t="s">
        <v>8314</v>
      </c>
      <c r="R3063" t="s">
        <v>8354</v>
      </c>
      <c r="S3063" s="14">
        <f t="shared" si="284"/>
        <v>41834.784120370372</v>
      </c>
      <c r="T3063" s="14">
        <f t="shared" si="285"/>
        <v>41864.784120370372</v>
      </c>
      <c r="U3063" s="64">
        <f t="shared" si="286"/>
        <v>30</v>
      </c>
      <c r="V3063" s="13" t="str">
        <f t="shared" si="287"/>
        <v>underfunded</v>
      </c>
    </row>
    <row r="3064" spans="1:22" ht="48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8314</v>
      </c>
      <c r="R3064" t="s">
        <v>8354</v>
      </c>
      <c r="S3064" s="14">
        <f t="shared" si="284"/>
        <v>42248.535787037035</v>
      </c>
      <c r="T3064" s="14">
        <f t="shared" si="285"/>
        <v>42277.75</v>
      </c>
      <c r="U3064" s="64">
        <f t="shared" si="286"/>
        <v>29.214212962964666</v>
      </c>
      <c r="V3064" s="13" t="str">
        <f t="shared" si="287"/>
        <v>underfunded</v>
      </c>
    </row>
    <row r="3065" spans="1:22" ht="3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8314</v>
      </c>
      <c r="R3065" t="s">
        <v>8354</v>
      </c>
      <c r="S3065" s="14">
        <f t="shared" si="284"/>
        <v>42630.922893518517</v>
      </c>
      <c r="T3065" s="14">
        <f t="shared" si="285"/>
        <v>42665.922893518517</v>
      </c>
      <c r="U3065" s="64">
        <f t="shared" si="286"/>
        <v>35</v>
      </c>
      <c r="V3065" s="13" t="str">
        <f t="shared" si="287"/>
        <v>underfunded</v>
      </c>
    </row>
    <row r="3066" spans="1:22" ht="3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8314</v>
      </c>
      <c r="R3066" t="s">
        <v>8354</v>
      </c>
      <c r="S3066" s="14">
        <f t="shared" si="284"/>
        <v>42299.130162037036</v>
      </c>
      <c r="T3066" s="14">
        <f t="shared" si="285"/>
        <v>42330.290972222225</v>
      </c>
      <c r="U3066" s="64">
        <f t="shared" si="286"/>
        <v>31.160810185188893</v>
      </c>
      <c r="V3066" s="13" t="str">
        <f t="shared" si="287"/>
        <v>underfunded</v>
      </c>
    </row>
    <row r="3067" spans="1:22" ht="48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0" t="s">
        <v>8314</v>
      </c>
      <c r="R3067" t="s">
        <v>8354</v>
      </c>
      <c r="S3067" s="14">
        <f t="shared" si="284"/>
        <v>41825.055231481485</v>
      </c>
      <c r="T3067" s="14">
        <f t="shared" si="285"/>
        <v>41850.055231481485</v>
      </c>
      <c r="U3067" s="64">
        <f t="shared" si="286"/>
        <v>25</v>
      </c>
      <c r="V3067" s="13" t="str">
        <f t="shared" si="287"/>
        <v>underfunded</v>
      </c>
    </row>
    <row r="3068" spans="1:22" ht="48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8314</v>
      </c>
      <c r="R3068" t="s">
        <v>8354</v>
      </c>
      <c r="S3068" s="14">
        <f t="shared" si="284"/>
        <v>42531.228437500002</v>
      </c>
      <c r="T3068" s="14">
        <f t="shared" si="285"/>
        <v>42561.228437500002</v>
      </c>
      <c r="U3068" s="64">
        <f t="shared" si="286"/>
        <v>30</v>
      </c>
      <c r="V3068" s="13" t="str">
        <f t="shared" si="287"/>
        <v>underfunded</v>
      </c>
    </row>
    <row r="3069" spans="1:22" ht="48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8314</v>
      </c>
      <c r="R3069" t="s">
        <v>8354</v>
      </c>
      <c r="S3069" s="14">
        <f t="shared" si="284"/>
        <v>42226.938414351855</v>
      </c>
      <c r="T3069" s="14">
        <f t="shared" si="285"/>
        <v>42256.938414351855</v>
      </c>
      <c r="U3069" s="64">
        <f t="shared" si="286"/>
        <v>30</v>
      </c>
      <c r="V3069" s="13" t="str">
        <f t="shared" si="287"/>
        <v>underfunded</v>
      </c>
    </row>
    <row r="3070" spans="1:22" ht="48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0" t="s">
        <v>8314</v>
      </c>
      <c r="R3070" t="s">
        <v>8354</v>
      </c>
      <c r="S3070" s="14">
        <f t="shared" si="284"/>
        <v>42263.691574074073</v>
      </c>
      <c r="T3070" s="14">
        <f t="shared" si="285"/>
        <v>42293.691574074073</v>
      </c>
      <c r="U3070" s="64">
        <f t="shared" si="286"/>
        <v>30</v>
      </c>
      <c r="V3070" s="13" t="str">
        <f t="shared" si="287"/>
        <v>underfunded</v>
      </c>
    </row>
    <row r="3071" spans="1:22" ht="48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8314</v>
      </c>
      <c r="R3071" t="s">
        <v>8354</v>
      </c>
      <c r="S3071" s="14">
        <f t="shared" si="284"/>
        <v>41957.833726851852</v>
      </c>
      <c r="T3071" s="14">
        <f t="shared" si="285"/>
        <v>41987.833726851852</v>
      </c>
      <c r="U3071" s="64">
        <f t="shared" si="286"/>
        <v>30</v>
      </c>
      <c r="V3071" s="13" t="str">
        <f t="shared" si="287"/>
        <v>underfunded</v>
      </c>
    </row>
    <row r="3072" spans="1:22" ht="48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8314</v>
      </c>
      <c r="R3072" t="s">
        <v>8354</v>
      </c>
      <c r="S3072" s="14">
        <f t="shared" si="284"/>
        <v>42690.733437499999</v>
      </c>
      <c r="T3072" s="14">
        <f t="shared" si="285"/>
        <v>42711.733437499999</v>
      </c>
      <c r="U3072" s="64">
        <f t="shared" si="286"/>
        <v>21</v>
      </c>
      <c r="V3072" s="13" t="str">
        <f t="shared" si="287"/>
        <v>underfunded</v>
      </c>
    </row>
    <row r="3073" spans="1:22" ht="48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8314</v>
      </c>
      <c r="R3073" t="s">
        <v>8354</v>
      </c>
      <c r="S3073" s="14">
        <f t="shared" si="284"/>
        <v>42097.732418981483</v>
      </c>
      <c r="T3073" s="14">
        <f t="shared" si="285"/>
        <v>42115.249305555553</v>
      </c>
      <c r="U3073" s="64">
        <f t="shared" si="286"/>
        <v>17.516886574070668</v>
      </c>
      <c r="V3073" s="13" t="str">
        <f t="shared" si="287"/>
        <v>underfunded</v>
      </c>
    </row>
    <row r="3074" spans="1:22" ht="48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2"/>
        <v>0</v>
      </c>
      <c r="P3074">
        <f t="shared" si="283"/>
        <v>1</v>
      </c>
      <c r="Q3074" s="10" t="s">
        <v>8314</v>
      </c>
      <c r="R3074" t="s">
        <v>8354</v>
      </c>
      <c r="S3074" s="14">
        <f t="shared" si="284"/>
        <v>42658.690532407403</v>
      </c>
      <c r="T3074" s="14">
        <f t="shared" si="285"/>
        <v>42673.073611111111</v>
      </c>
      <c r="U3074" s="64">
        <f t="shared" si="286"/>
        <v>14.383078703707724</v>
      </c>
      <c r="V3074" s="13" t="str">
        <f t="shared" si="287"/>
        <v>underfunded</v>
      </c>
    </row>
    <row r="3075" spans="1:22" ht="48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8">ROUND(E3075/D3075*100,0)</f>
        <v>0</v>
      </c>
      <c r="P3075">
        <f t="shared" ref="P3075:P3138" si="289">IFERROR(ROUND(E3075/L3075,2), 0)</f>
        <v>92.14</v>
      </c>
      <c r="Q3075" s="10" t="s">
        <v>8314</v>
      </c>
      <c r="R3075" t="s">
        <v>8354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 s="64">
        <f t="shared" ref="U3075:V3138" si="292">T3075-S3075</f>
        <v>58.120833333334303</v>
      </c>
      <c r="V3075" s="13" t="str">
        <f t="shared" ref="V3075:V3138" si="293">IF(E3075&gt;=D3075, "funded", "underfunded")</f>
        <v>underfunded</v>
      </c>
    </row>
    <row r="3076" spans="1:22" ht="6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0" t="s">
        <v>8314</v>
      </c>
      <c r="R3076" t="s">
        <v>8354</v>
      </c>
      <c r="S3076" s="14">
        <f t="shared" si="290"/>
        <v>42409.571284722217</v>
      </c>
      <c r="T3076" s="14">
        <f t="shared" si="291"/>
        <v>42439.571284722217</v>
      </c>
      <c r="U3076" s="64">
        <f t="shared" si="292"/>
        <v>30</v>
      </c>
      <c r="V3076" s="13" t="str">
        <f t="shared" si="293"/>
        <v>underfunded</v>
      </c>
    </row>
    <row r="3077" spans="1:22" ht="48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8314</v>
      </c>
      <c r="R3077" t="s">
        <v>8354</v>
      </c>
      <c r="S3077" s="14">
        <f t="shared" si="290"/>
        <v>42551.102314814809</v>
      </c>
      <c r="T3077" s="14">
        <f t="shared" si="291"/>
        <v>42601.102314814809</v>
      </c>
      <c r="U3077" s="64">
        <f t="shared" si="292"/>
        <v>50</v>
      </c>
      <c r="V3077" s="13" t="str">
        <f t="shared" si="293"/>
        <v>underfunded</v>
      </c>
    </row>
    <row r="3078" spans="1:22" ht="3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8314</v>
      </c>
      <c r="R3078" t="s">
        <v>8354</v>
      </c>
      <c r="S3078" s="14">
        <f t="shared" si="290"/>
        <v>42226.651886574073</v>
      </c>
      <c r="T3078" s="14">
        <f t="shared" si="291"/>
        <v>42286.651886574073</v>
      </c>
      <c r="U3078" s="64">
        <f t="shared" si="292"/>
        <v>60</v>
      </c>
      <c r="V3078" s="13" t="str">
        <f t="shared" si="293"/>
        <v>underfunded</v>
      </c>
    </row>
    <row r="3079" spans="1:22" ht="48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0" t="s">
        <v>8314</v>
      </c>
      <c r="R3079" t="s">
        <v>8354</v>
      </c>
      <c r="S3079" s="14">
        <f t="shared" si="290"/>
        <v>42766.956921296296</v>
      </c>
      <c r="T3079" s="14">
        <f t="shared" si="291"/>
        <v>42796.956921296296</v>
      </c>
      <c r="U3079" s="64">
        <f t="shared" si="292"/>
        <v>30</v>
      </c>
      <c r="V3079" s="13" t="str">
        <f t="shared" si="293"/>
        <v>underfunded</v>
      </c>
    </row>
    <row r="3080" spans="1:22" ht="48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0" t="s">
        <v>8314</v>
      </c>
      <c r="R3080" t="s">
        <v>8354</v>
      </c>
      <c r="S3080" s="14">
        <f t="shared" si="290"/>
        <v>42031.138831018514</v>
      </c>
      <c r="T3080" s="14">
        <f t="shared" si="291"/>
        <v>42061.138831018514</v>
      </c>
      <c r="U3080" s="64">
        <f t="shared" si="292"/>
        <v>30</v>
      </c>
      <c r="V3080" s="13" t="str">
        <f t="shared" si="293"/>
        <v>underfunded</v>
      </c>
    </row>
    <row r="3081" spans="1:22" ht="48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8314</v>
      </c>
      <c r="R3081" t="s">
        <v>8354</v>
      </c>
      <c r="S3081" s="14">
        <f t="shared" si="290"/>
        <v>42055.713368055556</v>
      </c>
      <c r="T3081" s="14">
        <f t="shared" si="291"/>
        <v>42085.671701388885</v>
      </c>
      <c r="U3081" s="64">
        <f t="shared" si="292"/>
        <v>29.958333333328483</v>
      </c>
      <c r="V3081" s="13" t="str">
        <f t="shared" si="293"/>
        <v>underfunded</v>
      </c>
    </row>
    <row r="3082" spans="1:22" ht="48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0" t="s">
        <v>8314</v>
      </c>
      <c r="R3082" t="s">
        <v>8354</v>
      </c>
      <c r="S3082" s="14">
        <f t="shared" si="290"/>
        <v>41940.028287037036</v>
      </c>
      <c r="T3082" s="14">
        <f t="shared" si="291"/>
        <v>42000.0699537037</v>
      </c>
      <c r="U3082" s="64">
        <f t="shared" si="292"/>
        <v>60.041666666664241</v>
      </c>
      <c r="V3082" s="13" t="str">
        <f t="shared" si="293"/>
        <v>underfunded</v>
      </c>
    </row>
    <row r="3083" spans="1:22" ht="48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0" t="s">
        <v>8314</v>
      </c>
      <c r="R3083" t="s">
        <v>8354</v>
      </c>
      <c r="S3083" s="14">
        <f t="shared" si="290"/>
        <v>42237.181608796294</v>
      </c>
      <c r="T3083" s="14">
        <f t="shared" si="291"/>
        <v>42267.181608796294</v>
      </c>
      <c r="U3083" s="64">
        <f t="shared" si="292"/>
        <v>30</v>
      </c>
      <c r="V3083" s="13" t="str">
        <f t="shared" si="293"/>
        <v>underfunded</v>
      </c>
    </row>
    <row r="3084" spans="1:22" ht="48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0" t="s">
        <v>8314</v>
      </c>
      <c r="R3084" t="s">
        <v>8354</v>
      </c>
      <c r="S3084" s="14">
        <f t="shared" si="290"/>
        <v>42293.922986111109</v>
      </c>
      <c r="T3084" s="14">
        <f t="shared" si="291"/>
        <v>42323.96465277778</v>
      </c>
      <c r="U3084" s="64">
        <f t="shared" si="292"/>
        <v>30.041666666671517</v>
      </c>
      <c r="V3084" s="13" t="str">
        <f t="shared" si="293"/>
        <v>underfunded</v>
      </c>
    </row>
    <row r="3085" spans="1:22" ht="6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0" t="s">
        <v>8314</v>
      </c>
      <c r="R3085" t="s">
        <v>8354</v>
      </c>
      <c r="S3085" s="14">
        <f t="shared" si="290"/>
        <v>41853.563402777778</v>
      </c>
      <c r="T3085" s="14">
        <f t="shared" si="291"/>
        <v>41883.208333333336</v>
      </c>
      <c r="U3085" s="64">
        <f t="shared" si="292"/>
        <v>29.644930555557949</v>
      </c>
      <c r="V3085" s="13" t="str">
        <f t="shared" si="293"/>
        <v>underfunded</v>
      </c>
    </row>
    <row r="3086" spans="1:22" ht="48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8314</v>
      </c>
      <c r="R3086" t="s">
        <v>8354</v>
      </c>
      <c r="S3086" s="14">
        <f t="shared" si="290"/>
        <v>42100.723738425921</v>
      </c>
      <c r="T3086" s="14">
        <f t="shared" si="291"/>
        <v>42129.783333333333</v>
      </c>
      <c r="U3086" s="64">
        <f t="shared" si="292"/>
        <v>29.059594907412247</v>
      </c>
      <c r="V3086" s="13" t="str">
        <f t="shared" si="293"/>
        <v>underfunded</v>
      </c>
    </row>
    <row r="3087" spans="1:22" ht="48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8314</v>
      </c>
      <c r="R3087" t="s">
        <v>8354</v>
      </c>
      <c r="S3087" s="14">
        <f t="shared" si="290"/>
        <v>42246.883784722217</v>
      </c>
      <c r="T3087" s="14">
        <f t="shared" si="291"/>
        <v>42276.883784722217</v>
      </c>
      <c r="U3087" s="64">
        <f t="shared" si="292"/>
        <v>30</v>
      </c>
      <c r="V3087" s="13" t="str">
        <f t="shared" si="293"/>
        <v>underfunded</v>
      </c>
    </row>
    <row r="3088" spans="1:22" ht="48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0" t="s">
        <v>8314</v>
      </c>
      <c r="R3088" t="s">
        <v>8354</v>
      </c>
      <c r="S3088" s="14">
        <f t="shared" si="290"/>
        <v>42173.67082175926</v>
      </c>
      <c r="T3088" s="14">
        <f t="shared" si="291"/>
        <v>42233.67082175926</v>
      </c>
      <c r="U3088" s="64">
        <f t="shared" si="292"/>
        <v>60</v>
      </c>
      <c r="V3088" s="13" t="str">
        <f t="shared" si="293"/>
        <v>underfunded</v>
      </c>
    </row>
    <row r="3089" spans="1:22" ht="48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8314</v>
      </c>
      <c r="R3089" t="s">
        <v>8354</v>
      </c>
      <c r="S3089" s="14">
        <f t="shared" si="290"/>
        <v>42665.150347222225</v>
      </c>
      <c r="T3089" s="14">
        <f t="shared" si="291"/>
        <v>42725.192013888889</v>
      </c>
      <c r="U3089" s="64">
        <f t="shared" si="292"/>
        <v>60.041666666664241</v>
      </c>
      <c r="V3089" s="13" t="str">
        <f t="shared" si="293"/>
        <v>underfunded</v>
      </c>
    </row>
    <row r="3090" spans="1:22" ht="3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0" t="s">
        <v>8314</v>
      </c>
      <c r="R3090" t="s">
        <v>8354</v>
      </c>
      <c r="S3090" s="14">
        <f t="shared" si="290"/>
        <v>41981.57230324074</v>
      </c>
      <c r="T3090" s="14">
        <f t="shared" si="291"/>
        <v>42012.570138888885</v>
      </c>
      <c r="U3090" s="64">
        <f t="shared" si="292"/>
        <v>30.997835648144246</v>
      </c>
      <c r="V3090" s="13" t="str">
        <f t="shared" si="293"/>
        <v>underfunded</v>
      </c>
    </row>
    <row r="3091" spans="1:22" ht="3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8314</v>
      </c>
      <c r="R3091" t="s">
        <v>8354</v>
      </c>
      <c r="S3091" s="14">
        <f t="shared" si="290"/>
        <v>42528.542627314819</v>
      </c>
      <c r="T3091" s="14">
        <f t="shared" si="291"/>
        <v>42560.082638888889</v>
      </c>
      <c r="U3091" s="64">
        <f t="shared" si="292"/>
        <v>31.540011574070377</v>
      </c>
      <c r="V3091" s="13" t="str">
        <f t="shared" si="293"/>
        <v>underfunded</v>
      </c>
    </row>
    <row r="3092" spans="1:22" ht="48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8314</v>
      </c>
      <c r="R3092" t="s">
        <v>8354</v>
      </c>
      <c r="S3092" s="14">
        <f t="shared" si="290"/>
        <v>42065.818807870368</v>
      </c>
      <c r="T3092" s="14">
        <f t="shared" si="291"/>
        <v>42125.777141203704</v>
      </c>
      <c r="U3092" s="64">
        <f t="shared" si="292"/>
        <v>59.958333333335759</v>
      </c>
      <c r="V3092" s="13" t="str">
        <f t="shared" si="293"/>
        <v>underfunded</v>
      </c>
    </row>
    <row r="3093" spans="1:22" ht="48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8314</v>
      </c>
      <c r="R3093" t="s">
        <v>8354</v>
      </c>
      <c r="S3093" s="14">
        <f t="shared" si="290"/>
        <v>42566.948414351849</v>
      </c>
      <c r="T3093" s="14">
        <f t="shared" si="291"/>
        <v>42596.948414351849</v>
      </c>
      <c r="U3093" s="64">
        <f t="shared" si="292"/>
        <v>30</v>
      </c>
      <c r="V3093" s="13" t="str">
        <f t="shared" si="293"/>
        <v>underfunded</v>
      </c>
    </row>
    <row r="3094" spans="1:22" ht="48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8314</v>
      </c>
      <c r="R3094" t="s">
        <v>8354</v>
      </c>
      <c r="S3094" s="14">
        <f t="shared" si="290"/>
        <v>42255.619351851856</v>
      </c>
      <c r="T3094" s="14">
        <f t="shared" si="291"/>
        <v>42292.916666666672</v>
      </c>
      <c r="U3094" s="64">
        <f t="shared" si="292"/>
        <v>37.297314814815763</v>
      </c>
      <c r="V3094" s="13" t="str">
        <f t="shared" si="293"/>
        <v>underfunded</v>
      </c>
    </row>
    <row r="3095" spans="1:22" ht="48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8314</v>
      </c>
      <c r="R3095" t="s">
        <v>8354</v>
      </c>
      <c r="S3095" s="14">
        <f t="shared" si="290"/>
        <v>41760.909039351849</v>
      </c>
      <c r="T3095" s="14">
        <f t="shared" si="291"/>
        <v>41791.165972222225</v>
      </c>
      <c r="U3095" s="64">
        <f t="shared" si="292"/>
        <v>30.256932870375749</v>
      </c>
      <c r="V3095" s="13" t="str">
        <f t="shared" si="293"/>
        <v>underfunded</v>
      </c>
    </row>
    <row r="3096" spans="1:22" ht="3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0" t="s">
        <v>8314</v>
      </c>
      <c r="R3096" t="s">
        <v>8354</v>
      </c>
      <c r="S3096" s="14">
        <f t="shared" si="290"/>
        <v>42207.795787037037</v>
      </c>
      <c r="T3096" s="14">
        <f t="shared" si="291"/>
        <v>42267.795787037037</v>
      </c>
      <c r="U3096" s="64">
        <f t="shared" si="292"/>
        <v>60</v>
      </c>
      <c r="V3096" s="13" t="str">
        <f t="shared" si="293"/>
        <v>underfunded</v>
      </c>
    </row>
    <row r="3097" spans="1:22" ht="48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0" t="s">
        <v>8314</v>
      </c>
      <c r="R3097" t="s">
        <v>8354</v>
      </c>
      <c r="S3097" s="14">
        <f t="shared" si="290"/>
        <v>42523.025231481486</v>
      </c>
      <c r="T3097" s="14">
        <f t="shared" si="291"/>
        <v>42583.025231481486</v>
      </c>
      <c r="U3097" s="64">
        <f t="shared" si="292"/>
        <v>60</v>
      </c>
      <c r="V3097" s="13" t="str">
        <f t="shared" si="293"/>
        <v>underfunded</v>
      </c>
    </row>
    <row r="3098" spans="1:22" ht="48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8314</v>
      </c>
      <c r="R3098" t="s">
        <v>8354</v>
      </c>
      <c r="S3098" s="14">
        <f t="shared" si="290"/>
        <v>42114.825532407413</v>
      </c>
      <c r="T3098" s="14">
        <f t="shared" si="291"/>
        <v>42144.825532407413</v>
      </c>
      <c r="U3098" s="64">
        <f t="shared" si="292"/>
        <v>30</v>
      </c>
      <c r="V3098" s="13" t="str">
        <f t="shared" si="293"/>
        <v>underfunded</v>
      </c>
    </row>
    <row r="3099" spans="1:22" ht="48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8314</v>
      </c>
      <c r="R3099" t="s">
        <v>8354</v>
      </c>
      <c r="S3099" s="14">
        <f t="shared" si="290"/>
        <v>42629.503483796296</v>
      </c>
      <c r="T3099" s="14">
        <f t="shared" si="291"/>
        <v>42650.583333333328</v>
      </c>
      <c r="U3099" s="64">
        <f t="shared" si="292"/>
        <v>21.079849537032715</v>
      </c>
      <c r="V3099" s="13" t="str">
        <f t="shared" si="293"/>
        <v>underfunded</v>
      </c>
    </row>
    <row r="3100" spans="1:22" ht="48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8314</v>
      </c>
      <c r="R3100" t="s">
        <v>8354</v>
      </c>
      <c r="S3100" s="14">
        <f t="shared" si="290"/>
        <v>42359.792233796295</v>
      </c>
      <c r="T3100" s="14">
        <f t="shared" si="291"/>
        <v>42408.01180555555</v>
      </c>
      <c r="U3100" s="64">
        <f t="shared" si="292"/>
        <v>48.219571759254904</v>
      </c>
      <c r="V3100" s="13" t="str">
        <f t="shared" si="293"/>
        <v>underfunded</v>
      </c>
    </row>
    <row r="3101" spans="1:22" ht="48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8314</v>
      </c>
      <c r="R3101" t="s">
        <v>8354</v>
      </c>
      <c r="S3101" s="14">
        <f t="shared" si="290"/>
        <v>42382.189710648148</v>
      </c>
      <c r="T3101" s="14">
        <f t="shared" si="291"/>
        <v>42412.189710648148</v>
      </c>
      <c r="U3101" s="64">
        <f t="shared" si="292"/>
        <v>30</v>
      </c>
      <c r="V3101" s="13" t="str">
        <f t="shared" si="293"/>
        <v>underfunded</v>
      </c>
    </row>
    <row r="3102" spans="1:22" ht="48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8314</v>
      </c>
      <c r="R3102" t="s">
        <v>8354</v>
      </c>
      <c r="S3102" s="14">
        <f t="shared" si="290"/>
        <v>41902.622395833336</v>
      </c>
      <c r="T3102" s="14">
        <f t="shared" si="291"/>
        <v>41932.622395833336</v>
      </c>
      <c r="U3102" s="64">
        <f t="shared" si="292"/>
        <v>30</v>
      </c>
      <c r="V3102" s="13" t="str">
        <f t="shared" si="293"/>
        <v>underfunded</v>
      </c>
    </row>
    <row r="3103" spans="1:22" ht="48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8314</v>
      </c>
      <c r="R3103" t="s">
        <v>8354</v>
      </c>
      <c r="S3103" s="14">
        <f t="shared" si="290"/>
        <v>42171.383530092593</v>
      </c>
      <c r="T3103" s="14">
        <f t="shared" si="291"/>
        <v>42201.330555555556</v>
      </c>
      <c r="U3103" s="64">
        <f t="shared" si="292"/>
        <v>29.947025462963211</v>
      </c>
      <c r="V3103" s="13" t="str">
        <f t="shared" si="293"/>
        <v>underfunded</v>
      </c>
    </row>
    <row r="3104" spans="1:22" ht="48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8314</v>
      </c>
      <c r="R3104" t="s">
        <v>8354</v>
      </c>
      <c r="S3104" s="14">
        <f t="shared" si="290"/>
        <v>42555.340486111112</v>
      </c>
      <c r="T3104" s="14">
        <f t="shared" si="291"/>
        <v>42605.340486111112</v>
      </c>
      <c r="U3104" s="64">
        <f t="shared" si="292"/>
        <v>50</v>
      </c>
      <c r="V3104" s="13" t="str">
        <f t="shared" si="293"/>
        <v>underfunded</v>
      </c>
    </row>
    <row r="3105" spans="1:22" ht="3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0" t="s">
        <v>8314</v>
      </c>
      <c r="R3105" t="s">
        <v>8354</v>
      </c>
      <c r="S3105" s="14">
        <f t="shared" si="290"/>
        <v>42107.156319444446</v>
      </c>
      <c r="T3105" s="14">
        <f t="shared" si="291"/>
        <v>42167.156319444446</v>
      </c>
      <c r="U3105" s="64">
        <f t="shared" si="292"/>
        <v>60</v>
      </c>
      <c r="V3105" s="13" t="str">
        <f t="shared" si="293"/>
        <v>underfunded</v>
      </c>
    </row>
    <row r="3106" spans="1:22" ht="48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8314</v>
      </c>
      <c r="R3106" t="s">
        <v>8354</v>
      </c>
      <c r="S3106" s="14">
        <f t="shared" si="290"/>
        <v>42006.908692129626</v>
      </c>
      <c r="T3106" s="14">
        <f t="shared" si="291"/>
        <v>42038.083333333328</v>
      </c>
      <c r="U3106" s="64">
        <f t="shared" si="292"/>
        <v>31.174641203702777</v>
      </c>
      <c r="V3106" s="13" t="str">
        <f t="shared" si="293"/>
        <v>underfunded</v>
      </c>
    </row>
    <row r="3107" spans="1:22" ht="48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8314</v>
      </c>
      <c r="R3107" t="s">
        <v>8354</v>
      </c>
      <c r="S3107" s="14">
        <f t="shared" si="290"/>
        <v>41876.718935185185</v>
      </c>
      <c r="T3107" s="14">
        <f t="shared" si="291"/>
        <v>41931.208333333336</v>
      </c>
      <c r="U3107" s="64">
        <f t="shared" si="292"/>
        <v>54.48939814815094</v>
      </c>
      <c r="V3107" s="13" t="str">
        <f t="shared" si="293"/>
        <v>underfunded</v>
      </c>
    </row>
    <row r="3108" spans="1:22" ht="48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8314</v>
      </c>
      <c r="R3108" t="s">
        <v>8354</v>
      </c>
      <c r="S3108" s="14">
        <f t="shared" si="290"/>
        <v>42241.429120370376</v>
      </c>
      <c r="T3108" s="14">
        <f t="shared" si="291"/>
        <v>42263.916666666672</v>
      </c>
      <c r="U3108" s="64">
        <f t="shared" si="292"/>
        <v>22.487546296295477</v>
      </c>
      <c r="V3108" s="13" t="str">
        <f t="shared" si="293"/>
        <v>underfunded</v>
      </c>
    </row>
    <row r="3109" spans="1:22" ht="48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8314</v>
      </c>
      <c r="R3109" t="s">
        <v>8354</v>
      </c>
      <c r="S3109" s="14">
        <f t="shared" si="290"/>
        <v>42128.814247685179</v>
      </c>
      <c r="T3109" s="14">
        <f t="shared" si="291"/>
        <v>42135.814247685179</v>
      </c>
      <c r="U3109" s="64">
        <f t="shared" si="292"/>
        <v>7</v>
      </c>
      <c r="V3109" s="13" t="str">
        <f t="shared" si="293"/>
        <v>underfunded</v>
      </c>
    </row>
    <row r="3110" spans="1:22" ht="16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0" t="s">
        <v>8314</v>
      </c>
      <c r="R3110" t="s">
        <v>8354</v>
      </c>
      <c r="S3110" s="14">
        <f t="shared" si="290"/>
        <v>42062.680486111116</v>
      </c>
      <c r="T3110" s="14">
        <f t="shared" si="291"/>
        <v>42122.638819444444</v>
      </c>
      <c r="U3110" s="64">
        <f t="shared" si="292"/>
        <v>59.958333333328483</v>
      </c>
      <c r="V3110" s="13" t="str">
        <f t="shared" si="293"/>
        <v>underfunded</v>
      </c>
    </row>
    <row r="3111" spans="1:22" ht="48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8314</v>
      </c>
      <c r="R3111" t="s">
        <v>8354</v>
      </c>
      <c r="S3111" s="14">
        <f t="shared" si="290"/>
        <v>41844.125115740739</v>
      </c>
      <c r="T3111" s="14">
        <f t="shared" si="291"/>
        <v>41879.125115740739</v>
      </c>
      <c r="U3111" s="64">
        <f t="shared" si="292"/>
        <v>35</v>
      </c>
      <c r="V3111" s="13" t="str">
        <f t="shared" si="293"/>
        <v>underfunded</v>
      </c>
    </row>
    <row r="3112" spans="1:22" ht="48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0" t="s">
        <v>8314</v>
      </c>
      <c r="R3112" t="s">
        <v>8354</v>
      </c>
      <c r="S3112" s="14">
        <f t="shared" si="290"/>
        <v>42745.031469907408</v>
      </c>
      <c r="T3112" s="14">
        <f t="shared" si="291"/>
        <v>42785.031469907408</v>
      </c>
      <c r="U3112" s="64">
        <f t="shared" si="292"/>
        <v>40</v>
      </c>
      <c r="V3112" s="13" t="str">
        <f t="shared" si="293"/>
        <v>underfunded</v>
      </c>
    </row>
    <row r="3113" spans="1:22" ht="3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8314</v>
      </c>
      <c r="R3113" t="s">
        <v>8354</v>
      </c>
      <c r="S3113" s="14">
        <f t="shared" si="290"/>
        <v>41885.595138888886</v>
      </c>
      <c r="T3113" s="14">
        <f t="shared" si="291"/>
        <v>41916.595138888886</v>
      </c>
      <c r="U3113" s="64">
        <f t="shared" si="292"/>
        <v>31</v>
      </c>
      <c r="V3113" s="13" t="str">
        <f t="shared" si="293"/>
        <v>underfunded</v>
      </c>
    </row>
    <row r="3114" spans="1:22" ht="48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8314</v>
      </c>
      <c r="R3114" t="s">
        <v>8354</v>
      </c>
      <c r="S3114" s="14">
        <f t="shared" si="290"/>
        <v>42615.121921296297</v>
      </c>
      <c r="T3114" s="14">
        <f t="shared" si="291"/>
        <v>42675.121921296297</v>
      </c>
      <c r="U3114" s="64">
        <f t="shared" si="292"/>
        <v>60</v>
      </c>
      <c r="V3114" s="13" t="str">
        <f t="shared" si="293"/>
        <v>underfunded</v>
      </c>
    </row>
    <row r="3115" spans="1:22" ht="48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8314</v>
      </c>
      <c r="R3115" t="s">
        <v>8354</v>
      </c>
      <c r="S3115" s="14">
        <f t="shared" si="290"/>
        <v>42081.731273148151</v>
      </c>
      <c r="T3115" s="14">
        <f t="shared" si="291"/>
        <v>42111.731273148151</v>
      </c>
      <c r="U3115" s="64">
        <f t="shared" si="292"/>
        <v>30</v>
      </c>
      <c r="V3115" s="13" t="str">
        <f t="shared" si="293"/>
        <v>underfunded</v>
      </c>
    </row>
    <row r="3116" spans="1:22" ht="48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0" t="s">
        <v>8314</v>
      </c>
      <c r="R3116" t="s">
        <v>8354</v>
      </c>
      <c r="S3116" s="14">
        <f t="shared" si="290"/>
        <v>41843.632523148146</v>
      </c>
      <c r="T3116" s="14">
        <f t="shared" si="291"/>
        <v>41903.632523148146</v>
      </c>
      <c r="U3116" s="64">
        <f t="shared" si="292"/>
        <v>60</v>
      </c>
      <c r="V3116" s="13" t="str">
        <f t="shared" si="293"/>
        <v>underfunded</v>
      </c>
    </row>
    <row r="3117" spans="1:22" ht="48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8314</v>
      </c>
      <c r="R3117" t="s">
        <v>8354</v>
      </c>
      <c r="S3117" s="14">
        <f t="shared" si="290"/>
        <v>42496.447071759263</v>
      </c>
      <c r="T3117" s="14">
        <f t="shared" si="291"/>
        <v>42526.447071759263</v>
      </c>
      <c r="U3117" s="64">
        <f t="shared" si="292"/>
        <v>30</v>
      </c>
      <c r="V3117" s="13" t="str">
        <f t="shared" si="293"/>
        <v>underfunded</v>
      </c>
    </row>
    <row r="3118" spans="1:22" ht="48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8314</v>
      </c>
      <c r="R3118" t="s">
        <v>8354</v>
      </c>
      <c r="S3118" s="14">
        <f t="shared" si="290"/>
        <v>42081.515335648146</v>
      </c>
      <c r="T3118" s="14">
        <f t="shared" si="291"/>
        <v>42095.515335648146</v>
      </c>
      <c r="U3118" s="64">
        <f t="shared" si="292"/>
        <v>14</v>
      </c>
      <c r="V3118" s="13" t="str">
        <f t="shared" si="293"/>
        <v>underfunded</v>
      </c>
    </row>
    <row r="3119" spans="1:22" ht="48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0" t="s">
        <v>8314</v>
      </c>
      <c r="R3119" t="s">
        <v>8354</v>
      </c>
      <c r="S3119" s="14">
        <f t="shared" si="290"/>
        <v>42509.374537037031</v>
      </c>
      <c r="T3119" s="14">
        <f t="shared" si="291"/>
        <v>42517.55</v>
      </c>
      <c r="U3119" s="64">
        <f t="shared" si="292"/>
        <v>8.1754629629722331</v>
      </c>
      <c r="V3119" s="13" t="str">
        <f t="shared" si="293"/>
        <v>underfunded</v>
      </c>
    </row>
    <row r="3120" spans="1:22" ht="3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0" t="s">
        <v>8314</v>
      </c>
      <c r="R3120" t="s">
        <v>8354</v>
      </c>
      <c r="S3120" s="14">
        <f t="shared" si="290"/>
        <v>42534.649571759262</v>
      </c>
      <c r="T3120" s="14">
        <f t="shared" si="291"/>
        <v>42553.649571759262</v>
      </c>
      <c r="U3120" s="64">
        <f t="shared" si="292"/>
        <v>19</v>
      </c>
      <c r="V3120" s="13" t="str">
        <f t="shared" si="293"/>
        <v>underfunded</v>
      </c>
    </row>
    <row r="3121" spans="1:22" ht="48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0" t="s">
        <v>8314</v>
      </c>
      <c r="R3121" t="s">
        <v>8354</v>
      </c>
      <c r="S3121" s="14">
        <f t="shared" si="290"/>
        <v>42060.04550925926</v>
      </c>
      <c r="T3121" s="14">
        <f t="shared" si="291"/>
        <v>42090.003842592589</v>
      </c>
      <c r="U3121" s="64">
        <f t="shared" si="292"/>
        <v>29.958333333328483</v>
      </c>
      <c r="V3121" s="13" t="str">
        <f t="shared" si="293"/>
        <v>underfunded</v>
      </c>
    </row>
    <row r="3122" spans="1:22" ht="48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0" t="s">
        <v>8314</v>
      </c>
      <c r="R3122" t="s">
        <v>8354</v>
      </c>
      <c r="S3122" s="14">
        <f t="shared" si="290"/>
        <v>42435.942083333335</v>
      </c>
      <c r="T3122" s="14">
        <f t="shared" si="291"/>
        <v>42495.900416666671</v>
      </c>
      <c r="U3122" s="64">
        <f t="shared" si="292"/>
        <v>59.958333333335759</v>
      </c>
      <c r="V3122" s="13" t="str">
        <f t="shared" si="293"/>
        <v>underfunded</v>
      </c>
    </row>
    <row r="3123" spans="1:22" ht="3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8314</v>
      </c>
      <c r="R3123" t="s">
        <v>8354</v>
      </c>
      <c r="S3123" s="14">
        <f t="shared" si="290"/>
        <v>41848.679803240739</v>
      </c>
      <c r="T3123" s="14">
        <f t="shared" si="291"/>
        <v>41908.679803240739</v>
      </c>
      <c r="U3123" s="64">
        <f t="shared" si="292"/>
        <v>60</v>
      </c>
      <c r="V3123" s="13" t="str">
        <f t="shared" si="293"/>
        <v>underfunded</v>
      </c>
    </row>
    <row r="3124" spans="1:22" ht="16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8314</v>
      </c>
      <c r="R3124" t="s">
        <v>8354</v>
      </c>
      <c r="S3124" s="14">
        <f t="shared" si="290"/>
        <v>42678.932083333333</v>
      </c>
      <c r="T3124" s="14">
        <f t="shared" si="291"/>
        <v>42683.973750000005</v>
      </c>
      <c r="U3124" s="64">
        <f t="shared" si="292"/>
        <v>5.0416666666715173</v>
      </c>
      <c r="V3124" s="13" t="str">
        <f t="shared" si="293"/>
        <v>underfunded</v>
      </c>
    </row>
    <row r="3125" spans="1:22" ht="48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8314</v>
      </c>
      <c r="R3125" t="s">
        <v>8354</v>
      </c>
      <c r="S3125" s="14">
        <f t="shared" si="290"/>
        <v>42530.993032407408</v>
      </c>
      <c r="T3125" s="14">
        <f t="shared" si="291"/>
        <v>42560.993032407408</v>
      </c>
      <c r="U3125" s="64">
        <f t="shared" si="292"/>
        <v>30</v>
      </c>
      <c r="V3125" s="13" t="str">
        <f t="shared" si="293"/>
        <v>underfunded</v>
      </c>
    </row>
    <row r="3126" spans="1:22" ht="3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0" t="s">
        <v>8314</v>
      </c>
      <c r="R3126" t="s">
        <v>8354</v>
      </c>
      <c r="S3126" s="14">
        <f t="shared" si="290"/>
        <v>41977.780104166668</v>
      </c>
      <c r="T3126" s="14">
        <f t="shared" si="291"/>
        <v>42037.780104166668</v>
      </c>
      <c r="U3126" s="64">
        <f t="shared" si="292"/>
        <v>60</v>
      </c>
      <c r="V3126" s="13" t="str">
        <f t="shared" si="293"/>
        <v>underfunded</v>
      </c>
    </row>
    <row r="3127" spans="1:22" ht="16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0" t="s">
        <v>8314</v>
      </c>
      <c r="R3127" t="s">
        <v>8354</v>
      </c>
      <c r="S3127" s="14">
        <f t="shared" si="290"/>
        <v>42346.20685185185</v>
      </c>
      <c r="T3127" s="14">
        <f t="shared" si="291"/>
        <v>42376.20685185185</v>
      </c>
      <c r="U3127" s="64">
        <f t="shared" si="292"/>
        <v>30</v>
      </c>
      <c r="V3127" s="13" t="str">
        <f t="shared" si="293"/>
        <v>underfunded</v>
      </c>
    </row>
    <row r="3128" spans="1:22" ht="8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8314</v>
      </c>
      <c r="R3128" t="s">
        <v>8354</v>
      </c>
      <c r="S3128" s="14">
        <f t="shared" si="290"/>
        <v>42427.01807870371</v>
      </c>
      <c r="T3128" s="14">
        <f t="shared" si="291"/>
        <v>42456.976412037038</v>
      </c>
      <c r="U3128" s="64">
        <f t="shared" si="292"/>
        <v>29.958333333328483</v>
      </c>
      <c r="V3128" s="13" t="str">
        <f t="shared" si="293"/>
        <v>underfunded</v>
      </c>
    </row>
    <row r="3129" spans="1:22" ht="48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0" t="s">
        <v>8314</v>
      </c>
      <c r="R3129" t="s">
        <v>8354</v>
      </c>
      <c r="S3129" s="14">
        <f t="shared" si="290"/>
        <v>42034.856817129628</v>
      </c>
      <c r="T3129" s="14">
        <f t="shared" si="291"/>
        <v>42064.856817129628</v>
      </c>
      <c r="U3129" s="64">
        <f t="shared" si="292"/>
        <v>30</v>
      </c>
      <c r="V3129" s="13" t="str">
        <f t="shared" si="293"/>
        <v>underfunded</v>
      </c>
    </row>
    <row r="3130" spans="1:22" ht="48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8314</v>
      </c>
      <c r="R3130" t="s">
        <v>8315</v>
      </c>
      <c r="S3130" s="14">
        <f t="shared" si="290"/>
        <v>42780.825706018513</v>
      </c>
      <c r="T3130" s="14">
        <f t="shared" si="291"/>
        <v>42810.784039351856</v>
      </c>
      <c r="U3130" s="64">
        <f t="shared" si="292"/>
        <v>29.958333333343035</v>
      </c>
      <c r="V3130" s="13" t="str">
        <f t="shared" si="293"/>
        <v>funded</v>
      </c>
    </row>
    <row r="3131" spans="1:22" ht="48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8314</v>
      </c>
      <c r="R3131" t="s">
        <v>8315</v>
      </c>
      <c r="S3131" s="14">
        <f t="shared" si="290"/>
        <v>42803.842812499999</v>
      </c>
      <c r="T3131" s="14">
        <f t="shared" si="291"/>
        <v>42843.801145833335</v>
      </c>
      <c r="U3131" s="64">
        <f t="shared" si="292"/>
        <v>39.958333333335759</v>
      </c>
      <c r="V3131" s="13" t="str">
        <f t="shared" si="293"/>
        <v>underfunded</v>
      </c>
    </row>
    <row r="3132" spans="1:22" ht="3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8314</v>
      </c>
      <c r="R3132" t="s">
        <v>8315</v>
      </c>
      <c r="S3132" s="14">
        <f t="shared" si="290"/>
        <v>42808.640231481477</v>
      </c>
      <c r="T3132" s="14">
        <f t="shared" si="291"/>
        <v>42839.207638888889</v>
      </c>
      <c r="U3132" s="64">
        <f t="shared" si="292"/>
        <v>30.567407407412247</v>
      </c>
      <c r="V3132" s="13" t="str">
        <f t="shared" si="293"/>
        <v>underfunded</v>
      </c>
    </row>
    <row r="3133" spans="1:22" ht="3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8314</v>
      </c>
      <c r="R3133" t="s">
        <v>8315</v>
      </c>
      <c r="S3133" s="14">
        <f t="shared" si="290"/>
        <v>42803.579224537039</v>
      </c>
      <c r="T3133" s="14">
        <f t="shared" si="291"/>
        <v>42833.537557870368</v>
      </c>
      <c r="U3133" s="64">
        <f t="shared" si="292"/>
        <v>29.958333333328483</v>
      </c>
      <c r="V3133" s="13" t="str">
        <f t="shared" si="293"/>
        <v>underfunded</v>
      </c>
    </row>
    <row r="3134" spans="1:22" ht="3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0" t="s">
        <v>8314</v>
      </c>
      <c r="R3134" t="s">
        <v>8315</v>
      </c>
      <c r="S3134" s="14">
        <f t="shared" si="290"/>
        <v>42786.350231481483</v>
      </c>
      <c r="T3134" s="14">
        <f t="shared" si="291"/>
        <v>42846.308564814812</v>
      </c>
      <c r="U3134" s="64">
        <f t="shared" si="292"/>
        <v>59.958333333328483</v>
      </c>
      <c r="V3134" s="13" t="str">
        <f t="shared" si="293"/>
        <v>underfunded</v>
      </c>
    </row>
    <row r="3135" spans="1:22" ht="48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8314</v>
      </c>
      <c r="R3135" t="s">
        <v>8315</v>
      </c>
      <c r="S3135" s="14">
        <f t="shared" si="290"/>
        <v>42788.565208333333</v>
      </c>
      <c r="T3135" s="14">
        <f t="shared" si="291"/>
        <v>42818.523541666669</v>
      </c>
      <c r="U3135" s="64">
        <f t="shared" si="292"/>
        <v>29.958333333335759</v>
      </c>
      <c r="V3135" s="13" t="str">
        <f t="shared" si="293"/>
        <v>funded</v>
      </c>
    </row>
    <row r="3136" spans="1:22" ht="48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8314</v>
      </c>
      <c r="R3136" t="s">
        <v>8315</v>
      </c>
      <c r="S3136" s="14">
        <f t="shared" si="290"/>
        <v>42800.720127314817</v>
      </c>
      <c r="T3136" s="14">
        <f t="shared" si="291"/>
        <v>42821.678460648152</v>
      </c>
      <c r="U3136" s="64">
        <f t="shared" si="292"/>
        <v>20.958333333335759</v>
      </c>
      <c r="V3136" s="13" t="str">
        <f t="shared" si="293"/>
        <v>underfunded</v>
      </c>
    </row>
    <row r="3137" spans="1:22" ht="48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8314</v>
      </c>
      <c r="R3137" t="s">
        <v>8315</v>
      </c>
      <c r="S3137" s="14">
        <f t="shared" si="290"/>
        <v>42807.151863425926</v>
      </c>
      <c r="T3137" s="14">
        <f t="shared" si="291"/>
        <v>42829.151863425926</v>
      </c>
      <c r="U3137" s="64">
        <f t="shared" si="292"/>
        <v>22</v>
      </c>
      <c r="V3137" s="13" t="str">
        <f t="shared" si="293"/>
        <v>underfunded</v>
      </c>
    </row>
    <row r="3138" spans="1:22" ht="48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>
        <f t="shared" si="289"/>
        <v>29.05</v>
      </c>
      <c r="Q3138" s="10" t="s">
        <v>8314</v>
      </c>
      <c r="R3138" t="s">
        <v>8315</v>
      </c>
      <c r="S3138" s="14">
        <f t="shared" si="290"/>
        <v>42789.462430555555</v>
      </c>
      <c r="T3138" s="14">
        <f t="shared" si="291"/>
        <v>42825.957638888889</v>
      </c>
      <c r="U3138" s="64">
        <f t="shared" si="292"/>
        <v>36.495208333333721</v>
      </c>
      <c r="V3138" s="13" t="str">
        <f t="shared" si="293"/>
        <v>funded</v>
      </c>
    </row>
    <row r="3139" spans="1:22" ht="3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>ROUND(E3139/D3139*100,0)</f>
        <v>3</v>
      </c>
      <c r="P3139">
        <f t="shared" ref="P3139:P3202" si="295">IFERROR(ROUND(E3139/L3139,2), 0)</f>
        <v>50</v>
      </c>
      <c r="Q3139" s="10" t="s">
        <v>8314</v>
      </c>
      <c r="R3139" t="s">
        <v>8315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 s="64">
        <f t="shared" ref="U3139:V3202" si="298">T3139-S3139</f>
        <v>50.914942129631527</v>
      </c>
      <c r="V3139" s="13" t="str">
        <f t="shared" ref="V3139:V3202" si="299">IF(E3139&gt;=D3139, "funded", "underfunded")</f>
        <v>underfunded</v>
      </c>
    </row>
    <row r="3140" spans="1:22" ht="6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0" t="s">
        <v>8314</v>
      </c>
      <c r="R3140" t="s">
        <v>8315</v>
      </c>
      <c r="S3140" s="14">
        <f t="shared" si="296"/>
        <v>42809.645914351851</v>
      </c>
      <c r="T3140" s="14">
        <f t="shared" si="297"/>
        <v>42828.645914351851</v>
      </c>
      <c r="U3140" s="64">
        <f t="shared" si="298"/>
        <v>19</v>
      </c>
      <c r="V3140" s="13" t="str">
        <f t="shared" si="299"/>
        <v>underfunded</v>
      </c>
    </row>
    <row r="3141" spans="1:22" ht="48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8314</v>
      </c>
      <c r="R3141" t="s">
        <v>8315</v>
      </c>
      <c r="S3141" s="14">
        <f t="shared" si="296"/>
        <v>42785.270370370374</v>
      </c>
      <c r="T3141" s="14">
        <f t="shared" si="297"/>
        <v>42819.189583333333</v>
      </c>
      <c r="U3141" s="64">
        <f t="shared" si="298"/>
        <v>33.919212962959136</v>
      </c>
      <c r="V3141" s="13" t="str">
        <f t="shared" si="299"/>
        <v>underfunded</v>
      </c>
    </row>
    <row r="3142" spans="1:22" ht="48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8314</v>
      </c>
      <c r="R3142" t="s">
        <v>8315</v>
      </c>
      <c r="S3142" s="14">
        <f t="shared" si="296"/>
        <v>42802.718784722223</v>
      </c>
      <c r="T3142" s="14">
        <f t="shared" si="297"/>
        <v>42832.677118055552</v>
      </c>
      <c r="U3142" s="64">
        <f t="shared" si="298"/>
        <v>29.958333333328483</v>
      </c>
      <c r="V3142" s="13" t="str">
        <f t="shared" si="299"/>
        <v>underfunded</v>
      </c>
    </row>
    <row r="3143" spans="1:22" ht="6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8314</v>
      </c>
      <c r="R3143" t="s">
        <v>8315</v>
      </c>
      <c r="S3143" s="14">
        <f t="shared" si="296"/>
        <v>42800.753333333334</v>
      </c>
      <c r="T3143" s="14">
        <f t="shared" si="297"/>
        <v>42841.833333333328</v>
      </c>
      <c r="U3143" s="64">
        <f t="shared" si="298"/>
        <v>41.07999999999447</v>
      </c>
      <c r="V3143" s="13" t="str">
        <f t="shared" si="299"/>
        <v>underfunded</v>
      </c>
    </row>
    <row r="3144" spans="1:22" ht="48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8314</v>
      </c>
      <c r="R3144" t="s">
        <v>8315</v>
      </c>
      <c r="S3144" s="14">
        <f t="shared" si="296"/>
        <v>42783.513182870374</v>
      </c>
      <c r="T3144" s="14">
        <f t="shared" si="297"/>
        <v>42813.471516203703</v>
      </c>
      <c r="U3144" s="64">
        <f t="shared" si="298"/>
        <v>29.958333333328483</v>
      </c>
      <c r="V3144" s="13" t="str">
        <f t="shared" si="299"/>
        <v>underfunded</v>
      </c>
    </row>
    <row r="3145" spans="1:22" ht="6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0" t="s">
        <v>8314</v>
      </c>
      <c r="R3145" t="s">
        <v>8315</v>
      </c>
      <c r="S3145" s="14">
        <f t="shared" si="296"/>
        <v>42808.358287037037</v>
      </c>
      <c r="T3145" s="14">
        <f t="shared" si="297"/>
        <v>42834.358287037037</v>
      </c>
      <c r="U3145" s="64">
        <f t="shared" si="298"/>
        <v>26</v>
      </c>
      <c r="V3145" s="13" t="str">
        <f t="shared" si="299"/>
        <v>underfunded</v>
      </c>
    </row>
    <row r="3146" spans="1:22" ht="6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8314</v>
      </c>
      <c r="R3146" t="s">
        <v>8315</v>
      </c>
      <c r="S3146" s="14">
        <f t="shared" si="296"/>
        <v>42796.538275462968</v>
      </c>
      <c r="T3146" s="14">
        <f t="shared" si="297"/>
        <v>42813.25</v>
      </c>
      <c r="U3146" s="64">
        <f t="shared" si="298"/>
        <v>16.711724537031841</v>
      </c>
      <c r="V3146" s="13" t="str">
        <f t="shared" si="299"/>
        <v>underfunded</v>
      </c>
    </row>
    <row r="3147" spans="1:22" ht="3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0" t="s">
        <v>8314</v>
      </c>
      <c r="R3147" t="s">
        <v>8315</v>
      </c>
      <c r="S3147" s="14">
        <f t="shared" si="296"/>
        <v>42762.040902777779</v>
      </c>
      <c r="T3147" s="14">
        <f t="shared" si="297"/>
        <v>42821.999236111107</v>
      </c>
      <c r="U3147" s="64">
        <f t="shared" si="298"/>
        <v>59.958333333328483</v>
      </c>
      <c r="V3147" s="13" t="str">
        <f t="shared" si="299"/>
        <v>underfunded</v>
      </c>
    </row>
    <row r="3148" spans="1:22" ht="3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8314</v>
      </c>
      <c r="R3148" t="s">
        <v>8315</v>
      </c>
      <c r="S3148" s="14">
        <f t="shared" si="296"/>
        <v>42796.682476851856</v>
      </c>
      <c r="T3148" s="14">
        <f t="shared" si="297"/>
        <v>42841.640810185185</v>
      </c>
      <c r="U3148" s="64">
        <f t="shared" si="298"/>
        <v>44.958333333328483</v>
      </c>
      <c r="V3148" s="13" t="str">
        <f t="shared" si="299"/>
        <v>underfunded</v>
      </c>
    </row>
    <row r="3149" spans="1:22" ht="48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8314</v>
      </c>
      <c r="R3149" t="s">
        <v>8315</v>
      </c>
      <c r="S3149" s="14">
        <f t="shared" si="296"/>
        <v>41909.969386574077</v>
      </c>
      <c r="T3149" s="14">
        <f t="shared" si="297"/>
        <v>41950.011053240742</v>
      </c>
      <c r="U3149" s="64">
        <f t="shared" si="298"/>
        <v>40.041666666664241</v>
      </c>
      <c r="V3149" s="13" t="str">
        <f t="shared" si="299"/>
        <v>funded</v>
      </c>
    </row>
    <row r="3150" spans="1:22" ht="3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8314</v>
      </c>
      <c r="R3150" t="s">
        <v>8315</v>
      </c>
      <c r="S3150" s="14">
        <f t="shared" si="296"/>
        <v>41891.665324074071</v>
      </c>
      <c r="T3150" s="14">
        <f t="shared" si="297"/>
        <v>41913.166666666664</v>
      </c>
      <c r="U3150" s="64">
        <f t="shared" si="298"/>
        <v>21.501342592593573</v>
      </c>
      <c r="V3150" s="13" t="str">
        <f t="shared" si="299"/>
        <v>funded</v>
      </c>
    </row>
    <row r="3151" spans="1:22" ht="48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8314</v>
      </c>
      <c r="R3151" t="s">
        <v>8315</v>
      </c>
      <c r="S3151" s="14">
        <f t="shared" si="296"/>
        <v>41226.017361111109</v>
      </c>
      <c r="T3151" s="14">
        <f t="shared" si="297"/>
        <v>41250.083333333336</v>
      </c>
      <c r="U3151" s="64">
        <f t="shared" si="298"/>
        <v>24.065972222226264</v>
      </c>
      <c r="V3151" s="13" t="str">
        <f t="shared" si="299"/>
        <v>funded</v>
      </c>
    </row>
    <row r="3152" spans="1:22" ht="6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8314</v>
      </c>
      <c r="R3152" t="s">
        <v>8315</v>
      </c>
      <c r="S3152" s="14">
        <f t="shared" si="296"/>
        <v>40478.263923611114</v>
      </c>
      <c r="T3152" s="14">
        <f t="shared" si="297"/>
        <v>40568.166666666664</v>
      </c>
      <c r="U3152" s="64">
        <f t="shared" si="298"/>
        <v>89.902743055550673</v>
      </c>
      <c r="V3152" s="13" t="str">
        <f t="shared" si="299"/>
        <v>funded</v>
      </c>
    </row>
    <row r="3153" spans="1:22" ht="3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8314</v>
      </c>
      <c r="R3153" t="s">
        <v>8315</v>
      </c>
      <c r="S3153" s="14">
        <f t="shared" si="296"/>
        <v>41862.83997685185</v>
      </c>
      <c r="T3153" s="14">
        <f t="shared" si="297"/>
        <v>41892.83997685185</v>
      </c>
      <c r="U3153" s="64">
        <f t="shared" si="298"/>
        <v>30</v>
      </c>
      <c r="V3153" s="13" t="str">
        <f t="shared" si="299"/>
        <v>funded</v>
      </c>
    </row>
    <row r="3154" spans="1:22" ht="48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8314</v>
      </c>
      <c r="R3154" t="s">
        <v>8315</v>
      </c>
      <c r="S3154" s="14">
        <f t="shared" si="296"/>
        <v>41550.867673611108</v>
      </c>
      <c r="T3154" s="14">
        <f t="shared" si="297"/>
        <v>41580.867673611108</v>
      </c>
      <c r="U3154" s="64">
        <f t="shared" si="298"/>
        <v>30</v>
      </c>
      <c r="V3154" s="13" t="str">
        <f t="shared" si="299"/>
        <v>funded</v>
      </c>
    </row>
    <row r="3155" spans="1:22" ht="48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8314</v>
      </c>
      <c r="R3155" t="s">
        <v>8315</v>
      </c>
      <c r="S3155" s="14">
        <f t="shared" si="296"/>
        <v>40633.154363425929</v>
      </c>
      <c r="T3155" s="14">
        <f t="shared" si="297"/>
        <v>40664.207638888889</v>
      </c>
      <c r="U3155" s="64">
        <f t="shared" si="298"/>
        <v>31.053275462960301</v>
      </c>
      <c r="V3155" s="13" t="str">
        <f t="shared" si="299"/>
        <v>funded</v>
      </c>
    </row>
    <row r="3156" spans="1:22" ht="48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8314</v>
      </c>
      <c r="R3156" t="s">
        <v>8315</v>
      </c>
      <c r="S3156" s="14">
        <f t="shared" si="296"/>
        <v>40970.875671296293</v>
      </c>
      <c r="T3156" s="14">
        <f t="shared" si="297"/>
        <v>41000.834004629629</v>
      </c>
      <c r="U3156" s="64">
        <f t="shared" si="298"/>
        <v>29.958333333335759</v>
      </c>
      <c r="V3156" s="13" t="str">
        <f t="shared" si="299"/>
        <v>funded</v>
      </c>
    </row>
    <row r="3157" spans="1:22" ht="48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8314</v>
      </c>
      <c r="R3157" t="s">
        <v>8315</v>
      </c>
      <c r="S3157" s="14">
        <f t="shared" si="296"/>
        <v>41233.499131944445</v>
      </c>
      <c r="T3157" s="14">
        <f t="shared" si="297"/>
        <v>41263.499131944445</v>
      </c>
      <c r="U3157" s="64">
        <f t="shared" si="298"/>
        <v>30</v>
      </c>
      <c r="V3157" s="13" t="str">
        <f t="shared" si="299"/>
        <v>funded</v>
      </c>
    </row>
    <row r="3158" spans="1:22" ht="48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8314</v>
      </c>
      <c r="R3158" t="s">
        <v>8315</v>
      </c>
      <c r="S3158" s="14">
        <f t="shared" si="296"/>
        <v>41026.953055555554</v>
      </c>
      <c r="T3158" s="14">
        <f t="shared" si="297"/>
        <v>41061.953055555554</v>
      </c>
      <c r="U3158" s="64">
        <f t="shared" si="298"/>
        <v>35</v>
      </c>
      <c r="V3158" s="13" t="str">
        <f t="shared" si="299"/>
        <v>funded</v>
      </c>
    </row>
    <row r="3159" spans="1:22" ht="3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8314</v>
      </c>
      <c r="R3159" t="s">
        <v>8315</v>
      </c>
      <c r="S3159" s="14">
        <f t="shared" si="296"/>
        <v>41829.788252314815</v>
      </c>
      <c r="T3159" s="14">
        <f t="shared" si="297"/>
        <v>41839.208333333336</v>
      </c>
      <c r="U3159" s="64">
        <f t="shared" si="298"/>
        <v>9.4200810185211594</v>
      </c>
      <c r="V3159" s="13" t="str">
        <f t="shared" si="299"/>
        <v>funded</v>
      </c>
    </row>
    <row r="3160" spans="1:22" ht="3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8314</v>
      </c>
      <c r="R3160" t="s">
        <v>8315</v>
      </c>
      <c r="S3160" s="14">
        <f t="shared" si="296"/>
        <v>41447.839722222219</v>
      </c>
      <c r="T3160" s="14">
        <f t="shared" si="297"/>
        <v>41477.839722222219</v>
      </c>
      <c r="U3160" s="64">
        <f t="shared" si="298"/>
        <v>30</v>
      </c>
      <c r="V3160" s="13" t="str">
        <f t="shared" si="299"/>
        <v>funded</v>
      </c>
    </row>
    <row r="3161" spans="1:22" ht="3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8314</v>
      </c>
      <c r="R3161" t="s">
        <v>8315</v>
      </c>
      <c r="S3161" s="14">
        <f t="shared" si="296"/>
        <v>40884.066678240742</v>
      </c>
      <c r="T3161" s="14">
        <f t="shared" si="297"/>
        <v>40926.958333333336</v>
      </c>
      <c r="U3161" s="64">
        <f t="shared" si="298"/>
        <v>42.891655092593282</v>
      </c>
      <c r="V3161" s="13" t="str">
        <f t="shared" si="299"/>
        <v>funded</v>
      </c>
    </row>
    <row r="3162" spans="1:22" ht="48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8314</v>
      </c>
      <c r="R3162" t="s">
        <v>8315</v>
      </c>
      <c r="S3162" s="14">
        <f t="shared" si="296"/>
        <v>41841.26489583333</v>
      </c>
      <c r="T3162" s="14">
        <f t="shared" si="297"/>
        <v>41864.207638888889</v>
      </c>
      <c r="U3162" s="64">
        <f t="shared" si="298"/>
        <v>22.942743055558822</v>
      </c>
      <c r="V3162" s="13" t="str">
        <f t="shared" si="299"/>
        <v>funded</v>
      </c>
    </row>
    <row r="3163" spans="1:22" ht="48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8314</v>
      </c>
      <c r="R3163" t="s">
        <v>8315</v>
      </c>
      <c r="S3163" s="14">
        <f t="shared" si="296"/>
        <v>41897.536134259259</v>
      </c>
      <c r="T3163" s="14">
        <f t="shared" si="297"/>
        <v>41927.536134259259</v>
      </c>
      <c r="U3163" s="64">
        <f t="shared" si="298"/>
        <v>30</v>
      </c>
      <c r="V3163" s="13" t="str">
        <f t="shared" si="299"/>
        <v>funded</v>
      </c>
    </row>
    <row r="3164" spans="1:22" ht="48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8314</v>
      </c>
      <c r="R3164" t="s">
        <v>8315</v>
      </c>
      <c r="S3164" s="14">
        <f t="shared" si="296"/>
        <v>41799.685902777775</v>
      </c>
      <c r="T3164" s="14">
        <f t="shared" si="297"/>
        <v>41827.083333333336</v>
      </c>
      <c r="U3164" s="64">
        <f t="shared" si="298"/>
        <v>27.397430555560277</v>
      </c>
      <c r="V3164" s="13" t="str">
        <f t="shared" si="299"/>
        <v>funded</v>
      </c>
    </row>
    <row r="3165" spans="1:22" ht="48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8314</v>
      </c>
      <c r="R3165" t="s">
        <v>8315</v>
      </c>
      <c r="S3165" s="14">
        <f t="shared" si="296"/>
        <v>41775.753761574073</v>
      </c>
      <c r="T3165" s="14">
        <f t="shared" si="297"/>
        <v>41805.753761574073</v>
      </c>
      <c r="U3165" s="64">
        <f t="shared" si="298"/>
        <v>30</v>
      </c>
      <c r="V3165" s="13" t="str">
        <f t="shared" si="299"/>
        <v>funded</v>
      </c>
    </row>
    <row r="3166" spans="1:22" ht="48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8314</v>
      </c>
      <c r="R3166" t="s">
        <v>8315</v>
      </c>
      <c r="S3166" s="14">
        <f t="shared" si="296"/>
        <v>41766.80572916667</v>
      </c>
      <c r="T3166" s="14">
        <f t="shared" si="297"/>
        <v>41799.80572916667</v>
      </c>
      <c r="U3166" s="64">
        <f t="shared" si="298"/>
        <v>33</v>
      </c>
      <c r="V3166" s="13" t="str">
        <f t="shared" si="299"/>
        <v>funded</v>
      </c>
    </row>
    <row r="3167" spans="1:22" ht="48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8314</v>
      </c>
      <c r="R3167" t="s">
        <v>8315</v>
      </c>
      <c r="S3167" s="14">
        <f t="shared" si="296"/>
        <v>40644.159259259257</v>
      </c>
      <c r="T3167" s="14">
        <f t="shared" si="297"/>
        <v>40666.165972222225</v>
      </c>
      <c r="U3167" s="64">
        <f t="shared" si="298"/>
        <v>22.006712962967867</v>
      </c>
      <c r="V3167" s="13" t="str">
        <f t="shared" si="299"/>
        <v>funded</v>
      </c>
    </row>
    <row r="3168" spans="1:22" ht="48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8314</v>
      </c>
      <c r="R3168" t="s">
        <v>8315</v>
      </c>
      <c r="S3168" s="14">
        <f t="shared" si="296"/>
        <v>41940.69158564815</v>
      </c>
      <c r="T3168" s="14">
        <f t="shared" si="297"/>
        <v>41969.332638888889</v>
      </c>
      <c r="U3168" s="64">
        <f t="shared" si="298"/>
        <v>28.641053240738984</v>
      </c>
      <c r="V3168" s="13" t="str">
        <f t="shared" si="299"/>
        <v>funded</v>
      </c>
    </row>
    <row r="3169" spans="1:22" ht="3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8314</v>
      </c>
      <c r="R3169" t="s">
        <v>8315</v>
      </c>
      <c r="S3169" s="14">
        <f t="shared" si="296"/>
        <v>41839.175706018519</v>
      </c>
      <c r="T3169" s="14">
        <f t="shared" si="297"/>
        <v>41853.175706018519</v>
      </c>
      <c r="U3169" s="64">
        <f t="shared" si="298"/>
        <v>14</v>
      </c>
      <c r="V3169" s="13" t="str">
        <f t="shared" si="299"/>
        <v>funded</v>
      </c>
    </row>
    <row r="3170" spans="1:22" ht="48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8314</v>
      </c>
      <c r="R3170" t="s">
        <v>8315</v>
      </c>
      <c r="S3170" s="14">
        <f t="shared" si="296"/>
        <v>41772.105937500004</v>
      </c>
      <c r="T3170" s="14">
        <f t="shared" si="297"/>
        <v>41803.916666666664</v>
      </c>
      <c r="U3170" s="64">
        <f t="shared" si="298"/>
        <v>31.810729166660167</v>
      </c>
      <c r="V3170" s="13" t="str">
        <f t="shared" si="299"/>
        <v>funded</v>
      </c>
    </row>
    <row r="3171" spans="1:22" ht="3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8314</v>
      </c>
      <c r="R3171" t="s">
        <v>8315</v>
      </c>
      <c r="S3171" s="14">
        <f t="shared" si="296"/>
        <v>41591.737974537034</v>
      </c>
      <c r="T3171" s="14">
        <f t="shared" si="297"/>
        <v>41621.207638888889</v>
      </c>
      <c r="U3171" s="64">
        <f t="shared" si="298"/>
        <v>29.46966435185459</v>
      </c>
      <c r="V3171" s="13" t="str">
        <f t="shared" si="299"/>
        <v>funded</v>
      </c>
    </row>
    <row r="3172" spans="1:22" ht="3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8314</v>
      </c>
      <c r="R3172" t="s">
        <v>8315</v>
      </c>
      <c r="S3172" s="14">
        <f t="shared" si="296"/>
        <v>41789.080370370371</v>
      </c>
      <c r="T3172" s="14">
        <f t="shared" si="297"/>
        <v>41822.166666666664</v>
      </c>
      <c r="U3172" s="64">
        <f t="shared" si="298"/>
        <v>33.086296296292858</v>
      </c>
      <c r="V3172" s="13" t="str">
        <f t="shared" si="299"/>
        <v>funded</v>
      </c>
    </row>
    <row r="3173" spans="1:22" ht="48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8314</v>
      </c>
      <c r="R3173" t="s">
        <v>8315</v>
      </c>
      <c r="S3173" s="14">
        <f t="shared" si="296"/>
        <v>42466.608310185184</v>
      </c>
      <c r="T3173" s="14">
        <f t="shared" si="297"/>
        <v>42496.608310185184</v>
      </c>
      <c r="U3173" s="64">
        <f t="shared" si="298"/>
        <v>30</v>
      </c>
      <c r="V3173" s="13" t="str">
        <f t="shared" si="299"/>
        <v>funded</v>
      </c>
    </row>
    <row r="3174" spans="1:22" ht="48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8314</v>
      </c>
      <c r="R3174" t="s">
        <v>8315</v>
      </c>
      <c r="S3174" s="14">
        <f t="shared" si="296"/>
        <v>40923.729953703703</v>
      </c>
      <c r="T3174" s="14">
        <f t="shared" si="297"/>
        <v>40953.729953703703</v>
      </c>
      <c r="U3174" s="64">
        <f t="shared" si="298"/>
        <v>30</v>
      </c>
      <c r="V3174" s="13" t="str">
        <f t="shared" si="299"/>
        <v>funded</v>
      </c>
    </row>
    <row r="3175" spans="1:22" ht="48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8314</v>
      </c>
      <c r="R3175" t="s">
        <v>8315</v>
      </c>
      <c r="S3175" s="14">
        <f t="shared" si="296"/>
        <v>41878.878379629627</v>
      </c>
      <c r="T3175" s="14">
        <f t="shared" si="297"/>
        <v>41908.878379629627</v>
      </c>
      <c r="U3175" s="64">
        <f t="shared" si="298"/>
        <v>30</v>
      </c>
      <c r="V3175" s="13" t="str">
        <f t="shared" si="299"/>
        <v>funded</v>
      </c>
    </row>
    <row r="3176" spans="1:22" ht="48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8314</v>
      </c>
      <c r="R3176" t="s">
        <v>8315</v>
      </c>
      <c r="S3176" s="14">
        <f t="shared" si="296"/>
        <v>41862.864675925928</v>
      </c>
      <c r="T3176" s="14">
        <f t="shared" si="297"/>
        <v>41876.864675925928</v>
      </c>
      <c r="U3176" s="64">
        <f t="shared" si="298"/>
        <v>14</v>
      </c>
      <c r="V3176" s="13" t="str">
        <f t="shared" si="299"/>
        <v>funded</v>
      </c>
    </row>
    <row r="3177" spans="1:22" ht="48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8314</v>
      </c>
      <c r="R3177" t="s">
        <v>8315</v>
      </c>
      <c r="S3177" s="14">
        <f t="shared" si="296"/>
        <v>40531.886886574073</v>
      </c>
      <c r="T3177" s="14">
        <f t="shared" si="297"/>
        <v>40591.886886574073</v>
      </c>
      <c r="U3177" s="64">
        <f t="shared" si="298"/>
        <v>60</v>
      </c>
      <c r="V3177" s="13" t="str">
        <f t="shared" si="299"/>
        <v>funded</v>
      </c>
    </row>
    <row r="3178" spans="1:22" ht="48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8314</v>
      </c>
      <c r="R3178" t="s">
        <v>8315</v>
      </c>
      <c r="S3178" s="14">
        <f t="shared" si="296"/>
        <v>41477.930914351848</v>
      </c>
      <c r="T3178" s="14">
        <f t="shared" si="297"/>
        <v>41504.625</v>
      </c>
      <c r="U3178" s="64">
        <f t="shared" si="298"/>
        <v>26.694085648152395</v>
      </c>
      <c r="V3178" s="13" t="str">
        <f t="shared" si="299"/>
        <v>funded</v>
      </c>
    </row>
    <row r="3179" spans="1:22" ht="48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8314</v>
      </c>
      <c r="R3179" t="s">
        <v>8315</v>
      </c>
      <c r="S3179" s="14">
        <f t="shared" si="296"/>
        <v>41781.666770833333</v>
      </c>
      <c r="T3179" s="14">
        <f t="shared" si="297"/>
        <v>41811.666770833333</v>
      </c>
      <c r="U3179" s="64">
        <f t="shared" si="298"/>
        <v>30</v>
      </c>
      <c r="V3179" s="13" t="str">
        <f t="shared" si="299"/>
        <v>funded</v>
      </c>
    </row>
    <row r="3180" spans="1:22" ht="48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8314</v>
      </c>
      <c r="R3180" t="s">
        <v>8315</v>
      </c>
      <c r="S3180" s="14">
        <f t="shared" si="296"/>
        <v>41806.605034722219</v>
      </c>
      <c r="T3180" s="14">
        <f t="shared" si="297"/>
        <v>41836.605034722219</v>
      </c>
      <c r="U3180" s="64">
        <f t="shared" si="298"/>
        <v>30</v>
      </c>
      <c r="V3180" s="13" t="str">
        <f t="shared" si="299"/>
        <v>funded</v>
      </c>
    </row>
    <row r="3181" spans="1:22" ht="3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8314</v>
      </c>
      <c r="R3181" t="s">
        <v>8315</v>
      </c>
      <c r="S3181" s="14">
        <f t="shared" si="296"/>
        <v>41375.702210648145</v>
      </c>
      <c r="T3181" s="14">
        <f t="shared" si="297"/>
        <v>41400.702210648145</v>
      </c>
      <c r="U3181" s="64">
        <f t="shared" si="298"/>
        <v>25</v>
      </c>
      <c r="V3181" s="13" t="str">
        <f t="shared" si="299"/>
        <v>funded</v>
      </c>
    </row>
    <row r="3182" spans="1:22" ht="48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8314</v>
      </c>
      <c r="R3182" t="s">
        <v>8315</v>
      </c>
      <c r="S3182" s="14">
        <f t="shared" si="296"/>
        <v>41780.412604166668</v>
      </c>
      <c r="T3182" s="14">
        <f t="shared" si="297"/>
        <v>41810.412604166668</v>
      </c>
      <c r="U3182" s="64">
        <f t="shared" si="298"/>
        <v>30</v>
      </c>
      <c r="V3182" s="13" t="str">
        <f t="shared" si="299"/>
        <v>funded</v>
      </c>
    </row>
    <row r="3183" spans="1:22" ht="48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8314</v>
      </c>
      <c r="R3183" t="s">
        <v>8315</v>
      </c>
      <c r="S3183" s="14">
        <f t="shared" si="296"/>
        <v>41779.310034722221</v>
      </c>
      <c r="T3183" s="14">
        <f t="shared" si="297"/>
        <v>41805.666666666664</v>
      </c>
      <c r="U3183" s="64">
        <f t="shared" si="298"/>
        <v>26.356631944443507</v>
      </c>
      <c r="V3183" s="13" t="str">
        <f t="shared" si="299"/>
        <v>funded</v>
      </c>
    </row>
    <row r="3184" spans="1:22" ht="6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8314</v>
      </c>
      <c r="R3184" t="s">
        <v>8315</v>
      </c>
      <c r="S3184" s="14">
        <f t="shared" si="296"/>
        <v>40883.949317129627</v>
      </c>
      <c r="T3184" s="14">
        <f t="shared" si="297"/>
        <v>40939.708333333336</v>
      </c>
      <c r="U3184" s="64">
        <f t="shared" si="298"/>
        <v>55.759016203708597</v>
      </c>
      <c r="V3184" s="13" t="str">
        <f t="shared" si="299"/>
        <v>funded</v>
      </c>
    </row>
    <row r="3185" spans="1:22" ht="48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8314</v>
      </c>
      <c r="R3185" t="s">
        <v>8315</v>
      </c>
      <c r="S3185" s="14">
        <f t="shared" si="296"/>
        <v>41491.79478009259</v>
      </c>
      <c r="T3185" s="14">
        <f t="shared" si="297"/>
        <v>41509.79478009259</v>
      </c>
      <c r="U3185" s="64">
        <f t="shared" si="298"/>
        <v>18</v>
      </c>
      <c r="V3185" s="13" t="str">
        <f t="shared" si="299"/>
        <v>funded</v>
      </c>
    </row>
    <row r="3186" spans="1:22" ht="48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8314</v>
      </c>
      <c r="R3186" t="s">
        <v>8315</v>
      </c>
      <c r="S3186" s="14">
        <f t="shared" si="296"/>
        <v>41791.993414351848</v>
      </c>
      <c r="T3186" s="14">
        <f t="shared" si="297"/>
        <v>41821.993414351848</v>
      </c>
      <c r="U3186" s="64">
        <f t="shared" si="298"/>
        <v>30</v>
      </c>
      <c r="V3186" s="13" t="str">
        <f t="shared" si="299"/>
        <v>funded</v>
      </c>
    </row>
    <row r="3187" spans="1:22" ht="48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8314</v>
      </c>
      <c r="R3187" t="s">
        <v>8315</v>
      </c>
      <c r="S3187" s="14">
        <f t="shared" si="296"/>
        <v>41829.977326388893</v>
      </c>
      <c r="T3187" s="14">
        <f t="shared" si="297"/>
        <v>41836.977326388893</v>
      </c>
      <c r="U3187" s="64">
        <f t="shared" si="298"/>
        <v>7</v>
      </c>
      <c r="V3187" s="13" t="str">
        <f t="shared" si="299"/>
        <v>funded</v>
      </c>
    </row>
    <row r="3188" spans="1:22" ht="48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8314</v>
      </c>
      <c r="R3188" t="s">
        <v>8315</v>
      </c>
      <c r="S3188" s="14">
        <f t="shared" si="296"/>
        <v>41868.924050925925</v>
      </c>
      <c r="T3188" s="14">
        <f t="shared" si="297"/>
        <v>41898.875</v>
      </c>
      <c r="U3188" s="64">
        <f t="shared" si="298"/>
        <v>29.950949074074742</v>
      </c>
      <c r="V3188" s="13" t="str">
        <f t="shared" si="299"/>
        <v>funded</v>
      </c>
    </row>
    <row r="3189" spans="1:22" ht="48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8314</v>
      </c>
      <c r="R3189" t="s">
        <v>8315</v>
      </c>
      <c r="S3189" s="14">
        <f t="shared" si="296"/>
        <v>41835.666354166664</v>
      </c>
      <c r="T3189" s="14">
        <f t="shared" si="297"/>
        <v>41855.666354166664</v>
      </c>
      <c r="U3189" s="64">
        <f t="shared" si="298"/>
        <v>20</v>
      </c>
      <c r="V3189" s="13" t="str">
        <f t="shared" si="299"/>
        <v>funded</v>
      </c>
    </row>
    <row r="3190" spans="1:22" ht="48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8314</v>
      </c>
      <c r="R3190" t="s">
        <v>8356</v>
      </c>
      <c r="S3190" s="14">
        <f t="shared" si="296"/>
        <v>42144.415532407409</v>
      </c>
      <c r="T3190" s="14">
        <f t="shared" si="297"/>
        <v>42165.415532407409</v>
      </c>
      <c r="U3190" s="64">
        <f t="shared" si="298"/>
        <v>21</v>
      </c>
      <c r="V3190" s="13" t="str">
        <f t="shared" si="299"/>
        <v>underfunded</v>
      </c>
    </row>
    <row r="3191" spans="1:22" ht="48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8314</v>
      </c>
      <c r="R3191" t="s">
        <v>8356</v>
      </c>
      <c r="S3191" s="14">
        <f t="shared" si="296"/>
        <v>42118.346435185187</v>
      </c>
      <c r="T3191" s="14">
        <f t="shared" si="297"/>
        <v>42148.346435185187</v>
      </c>
      <c r="U3191" s="64">
        <f t="shared" si="298"/>
        <v>30</v>
      </c>
      <c r="V3191" s="13" t="str">
        <f t="shared" si="299"/>
        <v>underfunded</v>
      </c>
    </row>
    <row r="3192" spans="1:22" ht="48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0" t="s">
        <v>8314</v>
      </c>
      <c r="R3192" t="s">
        <v>8356</v>
      </c>
      <c r="S3192" s="14">
        <f t="shared" si="296"/>
        <v>42683.151331018518</v>
      </c>
      <c r="T3192" s="14">
        <f t="shared" si="297"/>
        <v>42713.192997685182</v>
      </c>
      <c r="U3192" s="64">
        <f t="shared" si="298"/>
        <v>30.041666666664241</v>
      </c>
      <c r="V3192" s="13" t="str">
        <f t="shared" si="299"/>
        <v>underfunded</v>
      </c>
    </row>
    <row r="3193" spans="1:22" ht="48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8314</v>
      </c>
      <c r="R3193" t="s">
        <v>8356</v>
      </c>
      <c r="S3193" s="14">
        <f t="shared" si="296"/>
        <v>42538.755428240736</v>
      </c>
      <c r="T3193" s="14">
        <f t="shared" si="297"/>
        <v>42598.755428240736</v>
      </c>
      <c r="U3193" s="64">
        <f t="shared" si="298"/>
        <v>60</v>
      </c>
      <c r="V3193" s="13" t="str">
        <f t="shared" si="299"/>
        <v>underfunded</v>
      </c>
    </row>
    <row r="3194" spans="1:22" ht="48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8314</v>
      </c>
      <c r="R3194" t="s">
        <v>8356</v>
      </c>
      <c r="S3194" s="14">
        <f t="shared" si="296"/>
        <v>42018.94049768518</v>
      </c>
      <c r="T3194" s="14">
        <f t="shared" si="297"/>
        <v>42063.916666666672</v>
      </c>
      <c r="U3194" s="64">
        <f t="shared" si="298"/>
        <v>44.976168981491355</v>
      </c>
      <c r="V3194" s="13" t="str">
        <f t="shared" si="299"/>
        <v>underfunded</v>
      </c>
    </row>
    <row r="3195" spans="1:22" ht="48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8314</v>
      </c>
      <c r="R3195" t="s">
        <v>8356</v>
      </c>
      <c r="S3195" s="14">
        <f t="shared" si="296"/>
        <v>42010.968240740738</v>
      </c>
      <c r="T3195" s="14">
        <f t="shared" si="297"/>
        <v>42055.968240740738</v>
      </c>
      <c r="U3195" s="64">
        <f t="shared" si="298"/>
        <v>45</v>
      </c>
      <c r="V3195" s="13" t="str">
        <f t="shared" si="299"/>
        <v>underfunded</v>
      </c>
    </row>
    <row r="3196" spans="1:22" ht="48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0" t="s">
        <v>8314</v>
      </c>
      <c r="R3196" t="s">
        <v>8356</v>
      </c>
      <c r="S3196" s="14">
        <f t="shared" si="296"/>
        <v>42182.062476851846</v>
      </c>
      <c r="T3196" s="14">
        <f t="shared" si="297"/>
        <v>42212.062476851846</v>
      </c>
      <c r="U3196" s="64">
        <f t="shared" si="298"/>
        <v>30</v>
      </c>
      <c r="V3196" s="13" t="str">
        <f t="shared" si="299"/>
        <v>underfunded</v>
      </c>
    </row>
    <row r="3197" spans="1:22" ht="48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8314</v>
      </c>
      <c r="R3197" t="s">
        <v>8356</v>
      </c>
      <c r="S3197" s="14">
        <f t="shared" si="296"/>
        <v>42017.594236111108</v>
      </c>
      <c r="T3197" s="14">
        <f t="shared" si="297"/>
        <v>42047.594236111108</v>
      </c>
      <c r="U3197" s="64">
        <f t="shared" si="298"/>
        <v>30</v>
      </c>
      <c r="V3197" s="13" t="str">
        <f t="shared" si="299"/>
        <v>underfunded</v>
      </c>
    </row>
    <row r="3198" spans="1:22" ht="48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0" t="s">
        <v>8314</v>
      </c>
      <c r="R3198" t="s">
        <v>8356</v>
      </c>
      <c r="S3198" s="14">
        <f t="shared" si="296"/>
        <v>42157.598090277781</v>
      </c>
      <c r="T3198" s="14">
        <f t="shared" si="297"/>
        <v>42217.583333333328</v>
      </c>
      <c r="U3198" s="64">
        <f t="shared" si="298"/>
        <v>59.985243055547471</v>
      </c>
      <c r="V3198" s="13" t="str">
        <f t="shared" si="299"/>
        <v>underfunded</v>
      </c>
    </row>
    <row r="3199" spans="1:22" ht="3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8314</v>
      </c>
      <c r="R3199" t="s">
        <v>8356</v>
      </c>
      <c r="S3199" s="14">
        <f t="shared" si="296"/>
        <v>42009.493263888886</v>
      </c>
      <c r="T3199" s="14">
        <f t="shared" si="297"/>
        <v>42039.493263888886</v>
      </c>
      <c r="U3199" s="64">
        <f t="shared" si="298"/>
        <v>30</v>
      </c>
      <c r="V3199" s="13" t="str">
        <f t="shared" si="299"/>
        <v>underfunded</v>
      </c>
    </row>
    <row r="3200" spans="1:22" ht="48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0" t="s">
        <v>8314</v>
      </c>
      <c r="R3200" t="s">
        <v>8356</v>
      </c>
      <c r="S3200" s="14">
        <f t="shared" si="296"/>
        <v>42013.424502314811</v>
      </c>
      <c r="T3200" s="14">
        <f t="shared" si="297"/>
        <v>42051.424502314811</v>
      </c>
      <c r="U3200" s="64">
        <f t="shared" si="298"/>
        <v>38</v>
      </c>
      <c r="V3200" s="13" t="str">
        <f t="shared" si="299"/>
        <v>underfunded</v>
      </c>
    </row>
    <row r="3201" spans="1:22" ht="48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8314</v>
      </c>
      <c r="R3201" t="s">
        <v>8356</v>
      </c>
      <c r="S3201" s="14">
        <f t="shared" si="296"/>
        <v>41858.761782407404</v>
      </c>
      <c r="T3201" s="14">
        <f t="shared" si="297"/>
        <v>41888.875</v>
      </c>
      <c r="U3201" s="64">
        <f t="shared" si="298"/>
        <v>30.113217592595902</v>
      </c>
      <c r="V3201" s="13" t="str">
        <f t="shared" si="299"/>
        <v>underfunded</v>
      </c>
    </row>
    <row r="3202" spans="1:22" ht="48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4"/>
        <v>0</v>
      </c>
      <c r="P3202">
        <f t="shared" si="295"/>
        <v>1</v>
      </c>
      <c r="Q3202" s="10" t="s">
        <v>8314</v>
      </c>
      <c r="R3202" t="s">
        <v>8356</v>
      </c>
      <c r="S3202" s="14">
        <f t="shared" si="296"/>
        <v>42460.320613425924</v>
      </c>
      <c r="T3202" s="14">
        <f t="shared" si="297"/>
        <v>42490.231944444444</v>
      </c>
      <c r="U3202" s="64">
        <f t="shared" si="298"/>
        <v>29.911331018520286</v>
      </c>
      <c r="V3202" s="13" t="str">
        <f t="shared" si="299"/>
        <v>underfunded</v>
      </c>
    </row>
    <row r="3203" spans="1:22" ht="48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>ROUND(E3203/D3203*100,0)</f>
        <v>1</v>
      </c>
      <c r="P3203">
        <f t="shared" ref="P3203:P3266" si="301">IFERROR(ROUND(E3203/L3203,2), 0)</f>
        <v>12.5</v>
      </c>
      <c r="Q3203" s="10" t="s">
        <v>8314</v>
      </c>
      <c r="R3203" t="s">
        <v>8356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 s="64">
        <f t="shared" ref="U3203:V3266" si="304">T3203-S3203</f>
        <v>21</v>
      </c>
      <c r="V3203" s="13" t="str">
        <f t="shared" ref="V3203:V3266" si="305">IF(E3203&gt;=D3203, "funded", "underfunded")</f>
        <v>underfunded</v>
      </c>
    </row>
    <row r="3204" spans="1:22" ht="48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8314</v>
      </c>
      <c r="R3204" t="s">
        <v>8356</v>
      </c>
      <c r="S3204" s="14">
        <f t="shared" si="302"/>
        <v>42293.853541666671</v>
      </c>
      <c r="T3204" s="14">
        <f t="shared" si="303"/>
        <v>42352.249305555553</v>
      </c>
      <c r="U3204" s="64">
        <f t="shared" si="304"/>
        <v>58.395763888882357</v>
      </c>
      <c r="V3204" s="13" t="str">
        <f t="shared" si="305"/>
        <v>underfunded</v>
      </c>
    </row>
    <row r="3205" spans="1:22" ht="3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8314</v>
      </c>
      <c r="R3205" t="s">
        <v>8356</v>
      </c>
      <c r="S3205" s="14">
        <f t="shared" si="302"/>
        <v>42242.988680555558</v>
      </c>
      <c r="T3205" s="14">
        <f t="shared" si="303"/>
        <v>42272.988680555558</v>
      </c>
      <c r="U3205" s="64">
        <f t="shared" si="304"/>
        <v>30</v>
      </c>
      <c r="V3205" s="13" t="str">
        <f t="shared" si="305"/>
        <v>underfunded</v>
      </c>
    </row>
    <row r="3206" spans="1:22" ht="48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0" t="s">
        <v>8314</v>
      </c>
      <c r="R3206" t="s">
        <v>8356</v>
      </c>
      <c r="S3206" s="14">
        <f t="shared" si="302"/>
        <v>42172.686099537037</v>
      </c>
      <c r="T3206" s="14">
        <f t="shared" si="303"/>
        <v>42202.676388888889</v>
      </c>
      <c r="U3206" s="64">
        <f t="shared" si="304"/>
        <v>29.99028935185197</v>
      </c>
      <c r="V3206" s="13" t="str">
        <f t="shared" si="305"/>
        <v>underfunded</v>
      </c>
    </row>
    <row r="3207" spans="1:22" ht="48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8314</v>
      </c>
      <c r="R3207" t="s">
        <v>8356</v>
      </c>
      <c r="S3207" s="14">
        <f t="shared" si="302"/>
        <v>42095.374675925923</v>
      </c>
      <c r="T3207" s="14">
        <f t="shared" si="303"/>
        <v>42125.374675925923</v>
      </c>
      <c r="U3207" s="64">
        <f t="shared" si="304"/>
        <v>30</v>
      </c>
      <c r="V3207" s="13" t="str">
        <f t="shared" si="305"/>
        <v>underfunded</v>
      </c>
    </row>
    <row r="3208" spans="1:22" ht="48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0" t="s">
        <v>8314</v>
      </c>
      <c r="R3208" t="s">
        <v>8356</v>
      </c>
      <c r="S3208" s="14">
        <f t="shared" si="302"/>
        <v>42236.276053240741</v>
      </c>
      <c r="T3208" s="14">
        <f t="shared" si="303"/>
        <v>42266.276053240741</v>
      </c>
      <c r="U3208" s="64">
        <f t="shared" si="304"/>
        <v>30</v>
      </c>
      <c r="V3208" s="13" t="str">
        <f t="shared" si="305"/>
        <v>underfunded</v>
      </c>
    </row>
    <row r="3209" spans="1:22" ht="48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8314</v>
      </c>
      <c r="R3209" t="s">
        <v>8356</v>
      </c>
      <c r="S3209" s="14">
        <f t="shared" si="302"/>
        <v>42057.277858796297</v>
      </c>
      <c r="T3209" s="14">
        <f t="shared" si="303"/>
        <v>42117.236192129625</v>
      </c>
      <c r="U3209" s="64">
        <f t="shared" si="304"/>
        <v>59.958333333328483</v>
      </c>
      <c r="V3209" s="13" t="str">
        <f t="shared" si="305"/>
        <v>underfunded</v>
      </c>
    </row>
    <row r="3210" spans="1:22" ht="48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8314</v>
      </c>
      <c r="R3210" t="s">
        <v>8315</v>
      </c>
      <c r="S3210" s="14">
        <f t="shared" si="302"/>
        <v>41827.605057870373</v>
      </c>
      <c r="T3210" s="14">
        <f t="shared" si="303"/>
        <v>41848.605057870373</v>
      </c>
      <c r="U3210" s="64">
        <f t="shared" si="304"/>
        <v>21</v>
      </c>
      <c r="V3210" s="13" t="str">
        <f t="shared" si="305"/>
        <v>funded</v>
      </c>
    </row>
    <row r="3211" spans="1:22" ht="48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8314</v>
      </c>
      <c r="R3211" t="s">
        <v>8315</v>
      </c>
      <c r="S3211" s="14">
        <f t="shared" si="302"/>
        <v>41778.637245370373</v>
      </c>
      <c r="T3211" s="14">
        <f t="shared" si="303"/>
        <v>41810.958333333336</v>
      </c>
      <c r="U3211" s="64">
        <f t="shared" si="304"/>
        <v>32.321087962962338</v>
      </c>
      <c r="V3211" s="13" t="str">
        <f t="shared" si="305"/>
        <v>funded</v>
      </c>
    </row>
    <row r="3212" spans="1:22" ht="48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8314</v>
      </c>
      <c r="R3212" t="s">
        <v>8315</v>
      </c>
      <c r="S3212" s="14">
        <f t="shared" si="302"/>
        <v>41013.936562499999</v>
      </c>
      <c r="T3212" s="14">
        <f t="shared" si="303"/>
        <v>41061.165972222225</v>
      </c>
      <c r="U3212" s="64">
        <f t="shared" si="304"/>
        <v>47.229409722225682</v>
      </c>
      <c r="V3212" s="13" t="str">
        <f t="shared" si="305"/>
        <v>funded</v>
      </c>
    </row>
    <row r="3213" spans="1:22" ht="48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8314</v>
      </c>
      <c r="R3213" t="s">
        <v>8315</v>
      </c>
      <c r="S3213" s="14">
        <f t="shared" si="302"/>
        <v>41834.586574074077</v>
      </c>
      <c r="T3213" s="14">
        <f t="shared" si="303"/>
        <v>41866.083333333336</v>
      </c>
      <c r="U3213" s="64">
        <f t="shared" si="304"/>
        <v>31.496759259258397</v>
      </c>
      <c r="V3213" s="13" t="str">
        <f t="shared" si="305"/>
        <v>funded</v>
      </c>
    </row>
    <row r="3214" spans="1:22" ht="3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8314</v>
      </c>
      <c r="R3214" t="s">
        <v>8315</v>
      </c>
      <c r="S3214" s="14">
        <f t="shared" si="302"/>
        <v>41829.795729166668</v>
      </c>
      <c r="T3214" s="14">
        <f t="shared" si="303"/>
        <v>41859.795729166668</v>
      </c>
      <c r="U3214" s="64">
        <f t="shared" si="304"/>
        <v>30</v>
      </c>
      <c r="V3214" s="13" t="str">
        <f t="shared" si="305"/>
        <v>funded</v>
      </c>
    </row>
    <row r="3215" spans="1:22" ht="48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8314</v>
      </c>
      <c r="R3215" t="s">
        <v>8315</v>
      </c>
      <c r="S3215" s="14">
        <f t="shared" si="302"/>
        <v>42171.763414351852</v>
      </c>
      <c r="T3215" s="14">
        <f t="shared" si="303"/>
        <v>42211.763414351852</v>
      </c>
      <c r="U3215" s="64">
        <f t="shared" si="304"/>
        <v>40</v>
      </c>
      <c r="V3215" s="13" t="str">
        <f t="shared" si="305"/>
        <v>funded</v>
      </c>
    </row>
    <row r="3216" spans="1:22" ht="48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8314</v>
      </c>
      <c r="R3216" t="s">
        <v>8315</v>
      </c>
      <c r="S3216" s="14">
        <f t="shared" si="302"/>
        <v>42337.792511574073</v>
      </c>
      <c r="T3216" s="14">
        <f t="shared" si="303"/>
        <v>42374.996527777781</v>
      </c>
      <c r="U3216" s="64">
        <f t="shared" si="304"/>
        <v>37.204016203708306</v>
      </c>
      <c r="V3216" s="13" t="str">
        <f t="shared" si="305"/>
        <v>funded</v>
      </c>
    </row>
    <row r="3217" spans="1:22" ht="6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8314</v>
      </c>
      <c r="R3217" t="s">
        <v>8315</v>
      </c>
      <c r="S3217" s="14">
        <f t="shared" si="302"/>
        <v>42219.665173611109</v>
      </c>
      <c r="T3217" s="14">
        <f t="shared" si="303"/>
        <v>42257.165972222225</v>
      </c>
      <c r="U3217" s="64">
        <f t="shared" si="304"/>
        <v>37.500798611115897</v>
      </c>
      <c r="V3217" s="13" t="str">
        <f t="shared" si="305"/>
        <v>funded</v>
      </c>
    </row>
    <row r="3218" spans="1:22" ht="48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8314</v>
      </c>
      <c r="R3218" t="s">
        <v>8315</v>
      </c>
      <c r="S3218" s="14">
        <f t="shared" si="302"/>
        <v>42165.462627314817</v>
      </c>
      <c r="T3218" s="14">
        <f t="shared" si="303"/>
        <v>42196.604166666672</v>
      </c>
      <c r="U3218" s="64">
        <f t="shared" si="304"/>
        <v>31.14153935185459</v>
      </c>
      <c r="V3218" s="13" t="str">
        <f t="shared" si="305"/>
        <v>funded</v>
      </c>
    </row>
    <row r="3219" spans="1:22" ht="3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8314</v>
      </c>
      <c r="R3219" t="s">
        <v>8315</v>
      </c>
      <c r="S3219" s="14">
        <f t="shared" si="302"/>
        <v>42648.546111111107</v>
      </c>
      <c r="T3219" s="14">
        <f t="shared" si="303"/>
        <v>42678.546111111107</v>
      </c>
      <c r="U3219" s="64">
        <f t="shared" si="304"/>
        <v>30</v>
      </c>
      <c r="V3219" s="13" t="str">
        <f t="shared" si="305"/>
        <v>funded</v>
      </c>
    </row>
    <row r="3220" spans="1:22" ht="48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8314</v>
      </c>
      <c r="R3220" t="s">
        <v>8315</v>
      </c>
      <c r="S3220" s="14">
        <f t="shared" si="302"/>
        <v>41971.002152777779</v>
      </c>
      <c r="T3220" s="14">
        <f t="shared" si="303"/>
        <v>42004</v>
      </c>
      <c r="U3220" s="64">
        <f t="shared" si="304"/>
        <v>32.997847222221026</v>
      </c>
      <c r="V3220" s="13" t="str">
        <f t="shared" si="305"/>
        <v>funded</v>
      </c>
    </row>
    <row r="3221" spans="1:22" ht="3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8314</v>
      </c>
      <c r="R3221" t="s">
        <v>8315</v>
      </c>
      <c r="S3221" s="14">
        <f t="shared" si="302"/>
        <v>42050.983182870375</v>
      </c>
      <c r="T3221" s="14">
        <f t="shared" si="303"/>
        <v>42085.941516203704</v>
      </c>
      <c r="U3221" s="64">
        <f t="shared" si="304"/>
        <v>34.958333333328483</v>
      </c>
      <c r="V3221" s="13" t="str">
        <f t="shared" si="305"/>
        <v>funded</v>
      </c>
    </row>
    <row r="3222" spans="1:22" ht="3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8314</v>
      </c>
      <c r="R3222" t="s">
        <v>8315</v>
      </c>
      <c r="S3222" s="14">
        <f t="shared" si="302"/>
        <v>42772.833379629628</v>
      </c>
      <c r="T3222" s="14">
        <f t="shared" si="303"/>
        <v>42806.875</v>
      </c>
      <c r="U3222" s="64">
        <f t="shared" si="304"/>
        <v>34.041620370371675</v>
      </c>
      <c r="V3222" s="13" t="str">
        <f t="shared" si="305"/>
        <v>funded</v>
      </c>
    </row>
    <row r="3223" spans="1:22" ht="48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8314</v>
      </c>
      <c r="R3223" t="s">
        <v>8315</v>
      </c>
      <c r="S3223" s="14">
        <f t="shared" si="302"/>
        <v>42155.696793981479</v>
      </c>
      <c r="T3223" s="14">
        <f t="shared" si="303"/>
        <v>42190.696793981479</v>
      </c>
      <c r="U3223" s="64">
        <f t="shared" si="304"/>
        <v>35</v>
      </c>
      <c r="V3223" s="13" t="str">
        <f t="shared" si="305"/>
        <v>funded</v>
      </c>
    </row>
    <row r="3224" spans="1:22" ht="3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8314</v>
      </c>
      <c r="R3224" t="s">
        <v>8315</v>
      </c>
      <c r="S3224" s="14">
        <f t="shared" si="302"/>
        <v>42270.582141203704</v>
      </c>
      <c r="T3224" s="14">
        <f t="shared" si="303"/>
        <v>42301.895138888889</v>
      </c>
      <c r="U3224" s="64">
        <f t="shared" si="304"/>
        <v>31.31299768518511</v>
      </c>
      <c r="V3224" s="13" t="str">
        <f t="shared" si="305"/>
        <v>funded</v>
      </c>
    </row>
    <row r="3225" spans="1:22" ht="3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8314</v>
      </c>
      <c r="R3225" t="s">
        <v>8315</v>
      </c>
      <c r="S3225" s="14">
        <f t="shared" si="302"/>
        <v>42206.835370370376</v>
      </c>
      <c r="T3225" s="14">
        <f t="shared" si="303"/>
        <v>42236.835370370376</v>
      </c>
      <c r="U3225" s="64">
        <f t="shared" si="304"/>
        <v>30</v>
      </c>
      <c r="V3225" s="13" t="str">
        <f t="shared" si="305"/>
        <v>funded</v>
      </c>
    </row>
    <row r="3226" spans="1:22" ht="48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8314</v>
      </c>
      <c r="R3226" t="s">
        <v>8315</v>
      </c>
      <c r="S3226" s="14">
        <f t="shared" si="302"/>
        <v>42697.850844907407</v>
      </c>
      <c r="T3226" s="14">
        <f t="shared" si="303"/>
        <v>42745.208333333328</v>
      </c>
      <c r="U3226" s="64">
        <f t="shared" si="304"/>
        <v>47.357488425921474</v>
      </c>
      <c r="V3226" s="13" t="str">
        <f t="shared" si="305"/>
        <v>funded</v>
      </c>
    </row>
    <row r="3227" spans="1:22" ht="48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8314</v>
      </c>
      <c r="R3227" t="s">
        <v>8315</v>
      </c>
      <c r="S3227" s="14">
        <f t="shared" si="302"/>
        <v>42503.559467592597</v>
      </c>
      <c r="T3227" s="14">
        <f t="shared" si="303"/>
        <v>42524.875</v>
      </c>
      <c r="U3227" s="64">
        <f t="shared" si="304"/>
        <v>21.315532407403225</v>
      </c>
      <c r="V3227" s="13" t="str">
        <f t="shared" si="305"/>
        <v>funded</v>
      </c>
    </row>
    <row r="3228" spans="1:22" ht="48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8314</v>
      </c>
      <c r="R3228" t="s">
        <v>8315</v>
      </c>
      <c r="S3228" s="14">
        <f t="shared" si="302"/>
        <v>42277.583472222221</v>
      </c>
      <c r="T3228" s="14">
        <f t="shared" si="303"/>
        <v>42307.583472222221</v>
      </c>
      <c r="U3228" s="64">
        <f t="shared" si="304"/>
        <v>30</v>
      </c>
      <c r="V3228" s="13" t="str">
        <f t="shared" si="305"/>
        <v>funded</v>
      </c>
    </row>
    <row r="3229" spans="1:22" ht="48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8314</v>
      </c>
      <c r="R3229" t="s">
        <v>8315</v>
      </c>
      <c r="S3229" s="14">
        <f t="shared" si="302"/>
        <v>42722.882361111115</v>
      </c>
      <c r="T3229" s="14">
        <f t="shared" si="303"/>
        <v>42752.882361111115</v>
      </c>
      <c r="U3229" s="64">
        <f t="shared" si="304"/>
        <v>30</v>
      </c>
      <c r="V3229" s="13" t="str">
        <f t="shared" si="305"/>
        <v>funded</v>
      </c>
    </row>
    <row r="3230" spans="1:22" ht="16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8314</v>
      </c>
      <c r="R3230" t="s">
        <v>8315</v>
      </c>
      <c r="S3230" s="14">
        <f t="shared" si="302"/>
        <v>42323.70930555556</v>
      </c>
      <c r="T3230" s="14">
        <f t="shared" si="303"/>
        <v>42355.207638888889</v>
      </c>
      <c r="U3230" s="64">
        <f t="shared" si="304"/>
        <v>31.498333333329356</v>
      </c>
      <c r="V3230" s="13" t="str">
        <f t="shared" si="305"/>
        <v>funded</v>
      </c>
    </row>
    <row r="3231" spans="1:22" ht="48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8314</v>
      </c>
      <c r="R3231" t="s">
        <v>8315</v>
      </c>
      <c r="S3231" s="14">
        <f t="shared" si="302"/>
        <v>41933.291643518518</v>
      </c>
      <c r="T3231" s="14">
        <f t="shared" si="303"/>
        <v>41963.333310185189</v>
      </c>
      <c r="U3231" s="64">
        <f t="shared" si="304"/>
        <v>30.041666666671517</v>
      </c>
      <c r="V3231" s="13" t="str">
        <f t="shared" si="305"/>
        <v>funded</v>
      </c>
    </row>
    <row r="3232" spans="1:22" ht="48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8314</v>
      </c>
      <c r="R3232" t="s">
        <v>8315</v>
      </c>
      <c r="S3232" s="14">
        <f t="shared" si="302"/>
        <v>41898.168125000004</v>
      </c>
      <c r="T3232" s="14">
        <f t="shared" si="303"/>
        <v>41913.165972222225</v>
      </c>
      <c r="U3232" s="64">
        <f t="shared" si="304"/>
        <v>14.997847222221026</v>
      </c>
      <c r="V3232" s="13" t="str">
        <f t="shared" si="305"/>
        <v>funded</v>
      </c>
    </row>
    <row r="3233" spans="1:22" ht="48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8314</v>
      </c>
      <c r="R3233" t="s">
        <v>8315</v>
      </c>
      <c r="S3233" s="14">
        <f t="shared" si="302"/>
        <v>42446.943831018521</v>
      </c>
      <c r="T3233" s="14">
        <f t="shared" si="303"/>
        <v>42476.943831018521</v>
      </c>
      <c r="U3233" s="64">
        <f t="shared" si="304"/>
        <v>30</v>
      </c>
      <c r="V3233" s="13" t="str">
        <f t="shared" si="305"/>
        <v>funded</v>
      </c>
    </row>
    <row r="3234" spans="1:22" ht="48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8314</v>
      </c>
      <c r="R3234" t="s">
        <v>8315</v>
      </c>
      <c r="S3234" s="14">
        <f t="shared" si="302"/>
        <v>42463.81385416667</v>
      </c>
      <c r="T3234" s="14">
        <f t="shared" si="303"/>
        <v>42494.165972222225</v>
      </c>
      <c r="U3234" s="64">
        <f t="shared" si="304"/>
        <v>30.352118055554456</v>
      </c>
      <c r="V3234" s="13" t="str">
        <f t="shared" si="305"/>
        <v>funded</v>
      </c>
    </row>
    <row r="3235" spans="1:22" ht="48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8314</v>
      </c>
      <c r="R3235" t="s">
        <v>8315</v>
      </c>
      <c r="S3235" s="14">
        <f t="shared" si="302"/>
        <v>42766.805034722223</v>
      </c>
      <c r="T3235" s="14">
        <f t="shared" si="303"/>
        <v>42796.805034722223</v>
      </c>
      <c r="U3235" s="64">
        <f t="shared" si="304"/>
        <v>30</v>
      </c>
      <c r="V3235" s="13" t="str">
        <f t="shared" si="305"/>
        <v>funded</v>
      </c>
    </row>
    <row r="3236" spans="1:22" ht="48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8314</v>
      </c>
      <c r="R3236" t="s">
        <v>8315</v>
      </c>
      <c r="S3236" s="14">
        <f t="shared" si="302"/>
        <v>42734.789444444439</v>
      </c>
      <c r="T3236" s="14">
        <f t="shared" si="303"/>
        <v>42767.979861111111</v>
      </c>
      <c r="U3236" s="64">
        <f t="shared" si="304"/>
        <v>33.190416666671808</v>
      </c>
      <c r="V3236" s="13" t="str">
        <f t="shared" si="305"/>
        <v>funded</v>
      </c>
    </row>
    <row r="3237" spans="1:22" ht="48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8314</v>
      </c>
      <c r="R3237" t="s">
        <v>8315</v>
      </c>
      <c r="S3237" s="14">
        <f t="shared" si="302"/>
        <v>42522.347812499997</v>
      </c>
      <c r="T3237" s="14">
        <f t="shared" si="303"/>
        <v>42552.347812499997</v>
      </c>
      <c r="U3237" s="64">
        <f t="shared" si="304"/>
        <v>30</v>
      </c>
      <c r="V3237" s="13" t="str">
        <f t="shared" si="305"/>
        <v>funded</v>
      </c>
    </row>
    <row r="3238" spans="1:22" ht="48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8314</v>
      </c>
      <c r="R3238" t="s">
        <v>8315</v>
      </c>
      <c r="S3238" s="14">
        <f t="shared" si="302"/>
        <v>42702.917048611111</v>
      </c>
      <c r="T3238" s="14">
        <f t="shared" si="303"/>
        <v>42732.917048611111</v>
      </c>
      <c r="U3238" s="64">
        <f t="shared" si="304"/>
        <v>30</v>
      </c>
      <c r="V3238" s="13" t="str">
        <f t="shared" si="305"/>
        <v>funded</v>
      </c>
    </row>
    <row r="3239" spans="1:22" ht="3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8314</v>
      </c>
      <c r="R3239" t="s">
        <v>8315</v>
      </c>
      <c r="S3239" s="14">
        <f t="shared" si="302"/>
        <v>42252.474351851852</v>
      </c>
      <c r="T3239" s="14">
        <f t="shared" si="303"/>
        <v>42276.165972222225</v>
      </c>
      <c r="U3239" s="64">
        <f t="shared" si="304"/>
        <v>23.69162037037313</v>
      </c>
      <c r="V3239" s="13" t="str">
        <f t="shared" si="305"/>
        <v>funded</v>
      </c>
    </row>
    <row r="3240" spans="1:22" ht="48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8314</v>
      </c>
      <c r="R3240" t="s">
        <v>8315</v>
      </c>
      <c r="S3240" s="14">
        <f t="shared" si="302"/>
        <v>42156.510393518518</v>
      </c>
      <c r="T3240" s="14">
        <f t="shared" si="303"/>
        <v>42186.510393518518</v>
      </c>
      <c r="U3240" s="64">
        <f t="shared" si="304"/>
        <v>30</v>
      </c>
      <c r="V3240" s="13" t="str">
        <f t="shared" si="305"/>
        <v>funded</v>
      </c>
    </row>
    <row r="3241" spans="1:22" ht="48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8314</v>
      </c>
      <c r="R3241" t="s">
        <v>8315</v>
      </c>
      <c r="S3241" s="14">
        <f t="shared" si="302"/>
        <v>42278.089039351849</v>
      </c>
      <c r="T3241" s="14">
        <f t="shared" si="303"/>
        <v>42302.999305555553</v>
      </c>
      <c r="U3241" s="64">
        <f t="shared" si="304"/>
        <v>24.910266203703941</v>
      </c>
      <c r="V3241" s="13" t="str">
        <f t="shared" si="305"/>
        <v>funded</v>
      </c>
    </row>
    <row r="3242" spans="1:22" ht="48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8314</v>
      </c>
      <c r="R3242" t="s">
        <v>8315</v>
      </c>
      <c r="S3242" s="14">
        <f t="shared" si="302"/>
        <v>42754.693842592591</v>
      </c>
      <c r="T3242" s="14">
        <f t="shared" si="303"/>
        <v>42782.958333333328</v>
      </c>
      <c r="U3242" s="64">
        <f t="shared" si="304"/>
        <v>28.264490740737529</v>
      </c>
      <c r="V3242" s="13" t="str">
        <f t="shared" si="305"/>
        <v>funded</v>
      </c>
    </row>
    <row r="3243" spans="1:22" ht="6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8314</v>
      </c>
      <c r="R3243" t="s">
        <v>8315</v>
      </c>
      <c r="S3243" s="14">
        <f t="shared" si="302"/>
        <v>41893.324884259258</v>
      </c>
      <c r="T3243" s="14">
        <f t="shared" si="303"/>
        <v>41926.290972222225</v>
      </c>
      <c r="U3243" s="64">
        <f t="shared" si="304"/>
        <v>32.966087962966412</v>
      </c>
      <c r="V3243" s="13" t="str">
        <f t="shared" si="305"/>
        <v>funded</v>
      </c>
    </row>
    <row r="3244" spans="1:22" ht="3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8314</v>
      </c>
      <c r="R3244" t="s">
        <v>8315</v>
      </c>
      <c r="S3244" s="14">
        <f t="shared" si="302"/>
        <v>41871.755694444444</v>
      </c>
      <c r="T3244" s="14">
        <f t="shared" si="303"/>
        <v>41901.755694444444</v>
      </c>
      <c r="U3244" s="64">
        <f t="shared" si="304"/>
        <v>30</v>
      </c>
      <c r="V3244" s="13" t="str">
        <f t="shared" si="305"/>
        <v>funded</v>
      </c>
    </row>
    <row r="3245" spans="1:22" ht="48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8314</v>
      </c>
      <c r="R3245" t="s">
        <v>8315</v>
      </c>
      <c r="S3245" s="14">
        <f t="shared" si="302"/>
        <v>42262.096782407403</v>
      </c>
      <c r="T3245" s="14">
        <f t="shared" si="303"/>
        <v>42286</v>
      </c>
      <c r="U3245" s="64">
        <f t="shared" si="304"/>
        <v>23.903217592596775</v>
      </c>
      <c r="V3245" s="13" t="str">
        <f t="shared" si="305"/>
        <v>funded</v>
      </c>
    </row>
    <row r="3246" spans="1:22" ht="48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8314</v>
      </c>
      <c r="R3246" t="s">
        <v>8315</v>
      </c>
      <c r="S3246" s="14">
        <f t="shared" si="302"/>
        <v>42675.694236111114</v>
      </c>
      <c r="T3246" s="14">
        <f t="shared" si="303"/>
        <v>42705.735902777778</v>
      </c>
      <c r="U3246" s="64">
        <f t="shared" si="304"/>
        <v>30.041666666664241</v>
      </c>
      <c r="V3246" s="13" t="str">
        <f t="shared" si="305"/>
        <v>funded</v>
      </c>
    </row>
    <row r="3247" spans="1:22" ht="48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8314</v>
      </c>
      <c r="R3247" t="s">
        <v>8315</v>
      </c>
      <c r="S3247" s="14">
        <f t="shared" si="302"/>
        <v>42135.60020833333</v>
      </c>
      <c r="T3247" s="14">
        <f t="shared" si="303"/>
        <v>42167.083333333328</v>
      </c>
      <c r="U3247" s="64">
        <f t="shared" si="304"/>
        <v>31.483124999998836</v>
      </c>
      <c r="V3247" s="13" t="str">
        <f t="shared" si="305"/>
        <v>funded</v>
      </c>
    </row>
    <row r="3248" spans="1:22" ht="48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8314</v>
      </c>
      <c r="R3248" t="s">
        <v>8315</v>
      </c>
      <c r="S3248" s="14">
        <f t="shared" si="302"/>
        <v>42230.472222222219</v>
      </c>
      <c r="T3248" s="14">
        <f t="shared" si="303"/>
        <v>42259.165972222225</v>
      </c>
      <c r="U3248" s="64">
        <f t="shared" si="304"/>
        <v>28.693750000005821</v>
      </c>
      <c r="V3248" s="13" t="str">
        <f t="shared" si="305"/>
        <v>funded</v>
      </c>
    </row>
    <row r="3249" spans="1:22" ht="48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8314</v>
      </c>
      <c r="R3249" t="s">
        <v>8315</v>
      </c>
      <c r="S3249" s="14">
        <f t="shared" si="302"/>
        <v>42167.434166666666</v>
      </c>
      <c r="T3249" s="14">
        <f t="shared" si="303"/>
        <v>42197.434166666666</v>
      </c>
      <c r="U3249" s="64">
        <f t="shared" si="304"/>
        <v>30</v>
      </c>
      <c r="V3249" s="13" t="str">
        <f t="shared" si="305"/>
        <v>funded</v>
      </c>
    </row>
    <row r="3250" spans="1:22" ht="3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8314</v>
      </c>
      <c r="R3250" t="s">
        <v>8315</v>
      </c>
      <c r="S3250" s="14">
        <f t="shared" si="302"/>
        <v>42068.888391203705</v>
      </c>
      <c r="T3250" s="14">
        <f t="shared" si="303"/>
        <v>42098.846724537041</v>
      </c>
      <c r="U3250" s="64">
        <f t="shared" si="304"/>
        <v>29.958333333335759</v>
      </c>
      <c r="V3250" s="13" t="str">
        <f t="shared" si="305"/>
        <v>funded</v>
      </c>
    </row>
    <row r="3251" spans="1:22" ht="48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8314</v>
      </c>
      <c r="R3251" t="s">
        <v>8315</v>
      </c>
      <c r="S3251" s="14">
        <f t="shared" si="302"/>
        <v>42145.746689814812</v>
      </c>
      <c r="T3251" s="14">
        <f t="shared" si="303"/>
        <v>42175.746689814812</v>
      </c>
      <c r="U3251" s="64">
        <f t="shared" si="304"/>
        <v>30</v>
      </c>
      <c r="V3251" s="13" t="str">
        <f t="shared" si="305"/>
        <v>funded</v>
      </c>
    </row>
    <row r="3252" spans="1:22" ht="48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8314</v>
      </c>
      <c r="R3252" t="s">
        <v>8315</v>
      </c>
      <c r="S3252" s="14">
        <f t="shared" si="302"/>
        <v>41918.742175925923</v>
      </c>
      <c r="T3252" s="14">
        <f t="shared" si="303"/>
        <v>41948.783842592595</v>
      </c>
      <c r="U3252" s="64">
        <f t="shared" si="304"/>
        <v>30.041666666671517</v>
      </c>
      <c r="V3252" s="13" t="str">
        <f t="shared" si="305"/>
        <v>funded</v>
      </c>
    </row>
    <row r="3253" spans="1:22" ht="48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8314</v>
      </c>
      <c r="R3253" t="s">
        <v>8315</v>
      </c>
      <c r="S3253" s="14">
        <f t="shared" si="302"/>
        <v>42146.731087962966</v>
      </c>
      <c r="T3253" s="14">
        <f t="shared" si="303"/>
        <v>42176.731087962966</v>
      </c>
      <c r="U3253" s="64">
        <f t="shared" si="304"/>
        <v>30</v>
      </c>
      <c r="V3253" s="13" t="str">
        <f t="shared" si="305"/>
        <v>funded</v>
      </c>
    </row>
    <row r="3254" spans="1:22" ht="3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8314</v>
      </c>
      <c r="R3254" t="s">
        <v>8315</v>
      </c>
      <c r="S3254" s="14">
        <f t="shared" si="302"/>
        <v>42590.472685185188</v>
      </c>
      <c r="T3254" s="14">
        <f t="shared" si="303"/>
        <v>42620.472685185188</v>
      </c>
      <c r="U3254" s="64">
        <f t="shared" si="304"/>
        <v>30</v>
      </c>
      <c r="V3254" s="13" t="str">
        <f t="shared" si="305"/>
        <v>funded</v>
      </c>
    </row>
    <row r="3255" spans="1:22" ht="48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8314</v>
      </c>
      <c r="R3255" t="s">
        <v>8315</v>
      </c>
      <c r="S3255" s="14">
        <f t="shared" si="302"/>
        <v>42602.576712962968</v>
      </c>
      <c r="T3255" s="14">
        <f t="shared" si="303"/>
        <v>42621.15625</v>
      </c>
      <c r="U3255" s="64">
        <f t="shared" si="304"/>
        <v>18.579537037032424</v>
      </c>
      <c r="V3255" s="13" t="str">
        <f t="shared" si="305"/>
        <v>funded</v>
      </c>
    </row>
    <row r="3256" spans="1:22" ht="48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8314</v>
      </c>
      <c r="R3256" t="s">
        <v>8315</v>
      </c>
      <c r="S3256" s="14">
        <f t="shared" si="302"/>
        <v>42059.085752314815</v>
      </c>
      <c r="T3256" s="14">
        <f t="shared" si="303"/>
        <v>42089.044085648144</v>
      </c>
      <c r="U3256" s="64">
        <f t="shared" si="304"/>
        <v>29.958333333328483</v>
      </c>
      <c r="V3256" s="13" t="str">
        <f t="shared" si="305"/>
        <v>funded</v>
      </c>
    </row>
    <row r="3257" spans="1:22" ht="48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8314</v>
      </c>
      <c r="R3257" t="s">
        <v>8315</v>
      </c>
      <c r="S3257" s="14">
        <f t="shared" si="302"/>
        <v>41889.768229166664</v>
      </c>
      <c r="T3257" s="14">
        <f t="shared" si="303"/>
        <v>41919.768229166664</v>
      </c>
      <c r="U3257" s="64">
        <f t="shared" si="304"/>
        <v>30</v>
      </c>
      <c r="V3257" s="13" t="str">
        <f t="shared" si="305"/>
        <v>funded</v>
      </c>
    </row>
    <row r="3258" spans="1:22" ht="48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8314</v>
      </c>
      <c r="R3258" t="s">
        <v>8315</v>
      </c>
      <c r="S3258" s="14">
        <f t="shared" si="302"/>
        <v>42144.573807870373</v>
      </c>
      <c r="T3258" s="14">
        <f t="shared" si="303"/>
        <v>42166.165972222225</v>
      </c>
      <c r="U3258" s="64">
        <f t="shared" si="304"/>
        <v>21.592164351852261</v>
      </c>
      <c r="V3258" s="13" t="str">
        <f t="shared" si="305"/>
        <v>funded</v>
      </c>
    </row>
    <row r="3259" spans="1:22" ht="48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8314</v>
      </c>
      <c r="R3259" t="s">
        <v>8315</v>
      </c>
      <c r="S3259" s="14">
        <f t="shared" si="302"/>
        <v>42758.559629629628</v>
      </c>
      <c r="T3259" s="14">
        <f t="shared" si="303"/>
        <v>42788.559629629628</v>
      </c>
      <c r="U3259" s="64">
        <f t="shared" si="304"/>
        <v>30</v>
      </c>
      <c r="V3259" s="13" t="str">
        <f t="shared" si="305"/>
        <v>funded</v>
      </c>
    </row>
    <row r="3260" spans="1:22" ht="3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8314</v>
      </c>
      <c r="R3260" t="s">
        <v>8315</v>
      </c>
      <c r="S3260" s="14">
        <f t="shared" si="302"/>
        <v>41982.887280092589</v>
      </c>
      <c r="T3260" s="14">
        <f t="shared" si="303"/>
        <v>42012.887280092589</v>
      </c>
      <c r="U3260" s="64">
        <f t="shared" si="304"/>
        <v>30</v>
      </c>
      <c r="V3260" s="13" t="str">
        <f t="shared" si="305"/>
        <v>funded</v>
      </c>
    </row>
    <row r="3261" spans="1:22" ht="48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8314</v>
      </c>
      <c r="R3261" t="s">
        <v>8315</v>
      </c>
      <c r="S3261" s="14">
        <f t="shared" si="302"/>
        <v>42614.760937500003</v>
      </c>
      <c r="T3261" s="14">
        <f t="shared" si="303"/>
        <v>42644.165972222225</v>
      </c>
      <c r="U3261" s="64">
        <f t="shared" si="304"/>
        <v>29.405034722221899</v>
      </c>
      <c r="V3261" s="13" t="str">
        <f t="shared" si="305"/>
        <v>funded</v>
      </c>
    </row>
    <row r="3262" spans="1:22" ht="48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8314</v>
      </c>
      <c r="R3262" t="s">
        <v>8315</v>
      </c>
      <c r="S3262" s="14">
        <f t="shared" si="302"/>
        <v>42303.672662037032</v>
      </c>
      <c r="T3262" s="14">
        <f t="shared" si="303"/>
        <v>42338.714328703703</v>
      </c>
      <c r="U3262" s="64">
        <f t="shared" si="304"/>
        <v>35.041666666671517</v>
      </c>
      <c r="V3262" s="13" t="str">
        <f t="shared" si="305"/>
        <v>funded</v>
      </c>
    </row>
    <row r="3263" spans="1:22" ht="48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8314</v>
      </c>
      <c r="R3263" t="s">
        <v>8315</v>
      </c>
      <c r="S3263" s="14">
        <f t="shared" si="302"/>
        <v>42171.725416666668</v>
      </c>
      <c r="T3263" s="14">
        <f t="shared" si="303"/>
        <v>42201.725416666668</v>
      </c>
      <c r="U3263" s="64">
        <f t="shared" si="304"/>
        <v>30</v>
      </c>
      <c r="V3263" s="13" t="str">
        <f t="shared" si="305"/>
        <v>funded</v>
      </c>
    </row>
    <row r="3264" spans="1:22" ht="3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8314</v>
      </c>
      <c r="R3264" t="s">
        <v>8315</v>
      </c>
      <c r="S3264" s="14">
        <f t="shared" si="302"/>
        <v>41964.315532407403</v>
      </c>
      <c r="T3264" s="14">
        <f t="shared" si="303"/>
        <v>41995.166666666672</v>
      </c>
      <c r="U3264" s="64">
        <f t="shared" si="304"/>
        <v>30.851134259268292</v>
      </c>
      <c r="V3264" s="13" t="str">
        <f t="shared" si="305"/>
        <v>funded</v>
      </c>
    </row>
    <row r="3265" spans="1:22" ht="3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8314</v>
      </c>
      <c r="R3265" t="s">
        <v>8315</v>
      </c>
      <c r="S3265" s="14">
        <f t="shared" si="302"/>
        <v>42284.516064814816</v>
      </c>
      <c r="T3265" s="14">
        <f t="shared" si="303"/>
        <v>42307.875</v>
      </c>
      <c r="U3265" s="64">
        <f t="shared" si="304"/>
        <v>23.358935185184237</v>
      </c>
      <c r="V3265" s="13" t="str">
        <f t="shared" si="305"/>
        <v>funded</v>
      </c>
    </row>
    <row r="3266" spans="1:22" ht="3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>
        <f t="shared" si="301"/>
        <v>52.55</v>
      </c>
      <c r="Q3266" s="10" t="s">
        <v>8314</v>
      </c>
      <c r="R3266" t="s">
        <v>8315</v>
      </c>
      <c r="S3266" s="14">
        <f t="shared" si="302"/>
        <v>42016.800208333334</v>
      </c>
      <c r="T3266" s="14">
        <f t="shared" si="303"/>
        <v>42032.916666666672</v>
      </c>
      <c r="U3266" s="64">
        <f t="shared" si="304"/>
        <v>16.116458333337505</v>
      </c>
      <c r="V3266" s="13" t="str">
        <f t="shared" si="305"/>
        <v>funded</v>
      </c>
    </row>
    <row r="3267" spans="1:22" ht="48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>ROUND(E3267/D3267*100,0)</f>
        <v>164</v>
      </c>
      <c r="P3267">
        <f t="shared" ref="P3267:P3330" si="307">IFERROR(ROUND(E3267/L3267,2), 0)</f>
        <v>70.290000000000006</v>
      </c>
      <c r="Q3267" s="10" t="s">
        <v>8314</v>
      </c>
      <c r="R3267" t="s">
        <v>8315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 s="64">
        <f t="shared" ref="U3267:V3330" si="310">T3267-S3267</f>
        <v>29.996354166665697</v>
      </c>
      <c r="V3267" s="13" t="str">
        <f t="shared" ref="V3267:V3330" si="311">IF(E3267&gt;=D3267, "funded", "underfunded")</f>
        <v>funded</v>
      </c>
    </row>
    <row r="3268" spans="1:22" ht="48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8314</v>
      </c>
      <c r="R3268" t="s">
        <v>8315</v>
      </c>
      <c r="S3268" s="14">
        <f t="shared" si="308"/>
        <v>42136.536134259266</v>
      </c>
      <c r="T3268" s="14">
        <f t="shared" si="309"/>
        <v>42167.875</v>
      </c>
      <c r="U3268" s="64">
        <f t="shared" si="310"/>
        <v>31.338865740734036</v>
      </c>
      <c r="V3268" s="13" t="str">
        <f t="shared" si="311"/>
        <v>funded</v>
      </c>
    </row>
    <row r="3269" spans="1:22" ht="48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8314</v>
      </c>
      <c r="R3269" t="s">
        <v>8315</v>
      </c>
      <c r="S3269" s="14">
        <f t="shared" si="308"/>
        <v>42172.757638888885</v>
      </c>
      <c r="T3269" s="14">
        <f t="shared" si="309"/>
        <v>42202.757638888885</v>
      </c>
      <c r="U3269" s="64">
        <f t="shared" si="310"/>
        <v>30</v>
      </c>
      <c r="V3269" s="13" t="str">
        <f t="shared" si="311"/>
        <v>funded</v>
      </c>
    </row>
    <row r="3270" spans="1:22" ht="48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8314</v>
      </c>
      <c r="R3270" t="s">
        <v>8315</v>
      </c>
      <c r="S3270" s="14">
        <f t="shared" si="308"/>
        <v>42590.90425925926</v>
      </c>
      <c r="T3270" s="14">
        <f t="shared" si="309"/>
        <v>42606.90425925926</v>
      </c>
      <c r="U3270" s="64">
        <f t="shared" si="310"/>
        <v>16</v>
      </c>
      <c r="V3270" s="13" t="str">
        <f t="shared" si="311"/>
        <v>funded</v>
      </c>
    </row>
    <row r="3271" spans="1:22" ht="48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8314</v>
      </c>
      <c r="R3271" t="s">
        <v>8315</v>
      </c>
      <c r="S3271" s="14">
        <f t="shared" si="308"/>
        <v>42137.395798611105</v>
      </c>
      <c r="T3271" s="14">
        <f t="shared" si="309"/>
        <v>42171.458333333328</v>
      </c>
      <c r="U3271" s="64">
        <f t="shared" si="310"/>
        <v>34.062534722223063</v>
      </c>
      <c r="V3271" s="13" t="str">
        <f t="shared" si="311"/>
        <v>funded</v>
      </c>
    </row>
    <row r="3272" spans="1:22" ht="48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8314</v>
      </c>
      <c r="R3272" t="s">
        <v>8315</v>
      </c>
      <c r="S3272" s="14">
        <f t="shared" si="308"/>
        <v>42167.533159722225</v>
      </c>
      <c r="T3272" s="14">
        <f t="shared" si="309"/>
        <v>42197.533159722225</v>
      </c>
      <c r="U3272" s="64">
        <f t="shared" si="310"/>
        <v>30</v>
      </c>
      <c r="V3272" s="13" t="str">
        <f t="shared" si="311"/>
        <v>funded</v>
      </c>
    </row>
    <row r="3273" spans="1:22" ht="16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8314</v>
      </c>
      <c r="R3273" t="s">
        <v>8315</v>
      </c>
      <c r="S3273" s="14">
        <f t="shared" si="308"/>
        <v>41915.437210648146</v>
      </c>
      <c r="T3273" s="14">
        <f t="shared" si="309"/>
        <v>41945.478877314818</v>
      </c>
      <c r="U3273" s="64">
        <f t="shared" si="310"/>
        <v>30.041666666671517</v>
      </c>
      <c r="V3273" s="13" t="str">
        <f t="shared" si="311"/>
        <v>funded</v>
      </c>
    </row>
    <row r="3274" spans="1:22" ht="48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8314</v>
      </c>
      <c r="R3274" t="s">
        <v>8315</v>
      </c>
      <c r="S3274" s="14">
        <f t="shared" si="308"/>
        <v>42284.500104166669</v>
      </c>
      <c r="T3274" s="14">
        <f t="shared" si="309"/>
        <v>42314.541770833333</v>
      </c>
      <c r="U3274" s="64">
        <f t="shared" si="310"/>
        <v>30.041666666664241</v>
      </c>
      <c r="V3274" s="13" t="str">
        <f t="shared" si="311"/>
        <v>funded</v>
      </c>
    </row>
    <row r="3275" spans="1:22" ht="48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8314</v>
      </c>
      <c r="R3275" t="s">
        <v>8315</v>
      </c>
      <c r="S3275" s="14">
        <f t="shared" si="308"/>
        <v>42611.801412037035</v>
      </c>
      <c r="T3275" s="14">
        <f t="shared" si="309"/>
        <v>42627.791666666672</v>
      </c>
      <c r="U3275" s="64">
        <f t="shared" si="310"/>
        <v>15.990254629636183</v>
      </c>
      <c r="V3275" s="13" t="str">
        <f t="shared" si="311"/>
        <v>funded</v>
      </c>
    </row>
    <row r="3276" spans="1:22" ht="48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8314</v>
      </c>
      <c r="R3276" t="s">
        <v>8315</v>
      </c>
      <c r="S3276" s="14">
        <f t="shared" si="308"/>
        <v>42400.704537037032</v>
      </c>
      <c r="T3276" s="14">
        <f t="shared" si="309"/>
        <v>42444.875</v>
      </c>
      <c r="U3276" s="64">
        <f t="shared" si="310"/>
        <v>44.170462962967576</v>
      </c>
      <c r="V3276" s="13" t="str">
        <f t="shared" si="311"/>
        <v>funded</v>
      </c>
    </row>
    <row r="3277" spans="1:22" ht="48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8314</v>
      </c>
      <c r="R3277" t="s">
        <v>8315</v>
      </c>
      <c r="S3277" s="14">
        <f t="shared" si="308"/>
        <v>42017.88045138889</v>
      </c>
      <c r="T3277" s="14">
        <f t="shared" si="309"/>
        <v>42044.1875</v>
      </c>
      <c r="U3277" s="64">
        <f t="shared" si="310"/>
        <v>26.307048611110076</v>
      </c>
      <c r="V3277" s="13" t="str">
        <f t="shared" si="311"/>
        <v>funded</v>
      </c>
    </row>
    <row r="3278" spans="1:22" ht="48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8314</v>
      </c>
      <c r="R3278" t="s">
        <v>8315</v>
      </c>
      <c r="S3278" s="14">
        <f t="shared" si="308"/>
        <v>42426.949988425928</v>
      </c>
      <c r="T3278" s="14">
        <f t="shared" si="309"/>
        <v>42461.165972222225</v>
      </c>
      <c r="U3278" s="64">
        <f t="shared" si="310"/>
        <v>34.215983796297223</v>
      </c>
      <c r="V3278" s="13" t="str">
        <f t="shared" si="311"/>
        <v>funded</v>
      </c>
    </row>
    <row r="3279" spans="1:22" ht="48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8314</v>
      </c>
      <c r="R3279" t="s">
        <v>8315</v>
      </c>
      <c r="S3279" s="14">
        <f t="shared" si="308"/>
        <v>41931.682939814818</v>
      </c>
      <c r="T3279" s="14">
        <f t="shared" si="309"/>
        <v>41961.724606481483</v>
      </c>
      <c r="U3279" s="64">
        <f t="shared" si="310"/>
        <v>30.041666666664241</v>
      </c>
      <c r="V3279" s="13" t="str">
        <f t="shared" si="311"/>
        <v>funded</v>
      </c>
    </row>
    <row r="3280" spans="1:22" ht="48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8314</v>
      </c>
      <c r="R3280" t="s">
        <v>8315</v>
      </c>
      <c r="S3280" s="14">
        <f t="shared" si="308"/>
        <v>42124.848414351851</v>
      </c>
      <c r="T3280" s="14">
        <f t="shared" si="309"/>
        <v>42154.848414351851</v>
      </c>
      <c r="U3280" s="64">
        <f t="shared" si="310"/>
        <v>30</v>
      </c>
      <c r="V3280" s="13" t="str">
        <f t="shared" si="311"/>
        <v>funded</v>
      </c>
    </row>
    <row r="3281" spans="1:22" ht="48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8314</v>
      </c>
      <c r="R3281" t="s">
        <v>8315</v>
      </c>
      <c r="S3281" s="14">
        <f t="shared" si="308"/>
        <v>42431.102534722217</v>
      </c>
      <c r="T3281" s="14">
        <f t="shared" si="309"/>
        <v>42461.06086805556</v>
      </c>
      <c r="U3281" s="64">
        <f t="shared" si="310"/>
        <v>29.958333333343035</v>
      </c>
      <c r="V3281" s="13" t="str">
        <f t="shared" si="311"/>
        <v>funded</v>
      </c>
    </row>
    <row r="3282" spans="1:22" ht="48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8314</v>
      </c>
      <c r="R3282" t="s">
        <v>8315</v>
      </c>
      <c r="S3282" s="14">
        <f t="shared" si="308"/>
        <v>42121.756921296299</v>
      </c>
      <c r="T3282" s="14">
        <f t="shared" si="309"/>
        <v>42156.208333333328</v>
      </c>
      <c r="U3282" s="64">
        <f t="shared" si="310"/>
        <v>34.451412037029513</v>
      </c>
      <c r="V3282" s="13" t="str">
        <f t="shared" si="311"/>
        <v>funded</v>
      </c>
    </row>
    <row r="3283" spans="1:22" ht="3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8314</v>
      </c>
      <c r="R3283" t="s">
        <v>8315</v>
      </c>
      <c r="S3283" s="14">
        <f t="shared" si="308"/>
        <v>42219.019733796296</v>
      </c>
      <c r="T3283" s="14">
        <f t="shared" si="309"/>
        <v>42249.019733796296</v>
      </c>
      <c r="U3283" s="64">
        <f t="shared" si="310"/>
        <v>30</v>
      </c>
      <c r="V3283" s="13" t="str">
        <f t="shared" si="311"/>
        <v>funded</v>
      </c>
    </row>
    <row r="3284" spans="1:22" ht="48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8314</v>
      </c>
      <c r="R3284" t="s">
        <v>8315</v>
      </c>
      <c r="S3284" s="14">
        <f t="shared" si="308"/>
        <v>42445.19430555556</v>
      </c>
      <c r="T3284" s="14">
        <f t="shared" si="309"/>
        <v>42489.19430555556</v>
      </c>
      <c r="U3284" s="64">
        <f t="shared" si="310"/>
        <v>44</v>
      </c>
      <c r="V3284" s="13" t="str">
        <f t="shared" si="311"/>
        <v>funded</v>
      </c>
    </row>
    <row r="3285" spans="1:22" ht="48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8314</v>
      </c>
      <c r="R3285" t="s">
        <v>8315</v>
      </c>
      <c r="S3285" s="14">
        <f t="shared" si="308"/>
        <v>42379.74418981481</v>
      </c>
      <c r="T3285" s="14">
        <f t="shared" si="309"/>
        <v>42410.875</v>
      </c>
      <c r="U3285" s="64">
        <f t="shared" si="310"/>
        <v>31.130810185190057</v>
      </c>
      <c r="V3285" s="13" t="str">
        <f t="shared" si="311"/>
        <v>funded</v>
      </c>
    </row>
    <row r="3286" spans="1:22" ht="48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8314</v>
      </c>
      <c r="R3286" t="s">
        <v>8315</v>
      </c>
      <c r="S3286" s="14">
        <f t="shared" si="308"/>
        <v>42380.884872685187</v>
      </c>
      <c r="T3286" s="14">
        <f t="shared" si="309"/>
        <v>42398.249305555553</v>
      </c>
      <c r="U3286" s="64">
        <f t="shared" si="310"/>
        <v>17.364432870366727</v>
      </c>
      <c r="V3286" s="13" t="str">
        <f t="shared" si="311"/>
        <v>funded</v>
      </c>
    </row>
    <row r="3287" spans="1:22" ht="16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8314</v>
      </c>
      <c r="R3287" t="s">
        <v>8315</v>
      </c>
      <c r="S3287" s="14">
        <f t="shared" si="308"/>
        <v>42762.942430555559</v>
      </c>
      <c r="T3287" s="14">
        <f t="shared" si="309"/>
        <v>42794.208333333328</v>
      </c>
      <c r="U3287" s="64">
        <f t="shared" si="310"/>
        <v>31.265902777769952</v>
      </c>
      <c r="V3287" s="13" t="str">
        <f t="shared" si="311"/>
        <v>funded</v>
      </c>
    </row>
    <row r="3288" spans="1:22" ht="48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8314</v>
      </c>
      <c r="R3288" t="s">
        <v>8315</v>
      </c>
      <c r="S3288" s="14">
        <f t="shared" si="308"/>
        <v>42567.840069444443</v>
      </c>
      <c r="T3288" s="14">
        <f t="shared" si="309"/>
        <v>42597.840069444443</v>
      </c>
      <c r="U3288" s="64">
        <f t="shared" si="310"/>
        <v>30</v>
      </c>
      <c r="V3288" s="13" t="str">
        <f t="shared" si="311"/>
        <v>funded</v>
      </c>
    </row>
    <row r="3289" spans="1:22" ht="3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8314</v>
      </c>
      <c r="R3289" t="s">
        <v>8315</v>
      </c>
      <c r="S3289" s="14">
        <f t="shared" si="308"/>
        <v>42311.750324074077</v>
      </c>
      <c r="T3289" s="14">
        <f t="shared" si="309"/>
        <v>42336.750324074077</v>
      </c>
      <c r="U3289" s="64">
        <f t="shared" si="310"/>
        <v>25</v>
      </c>
      <c r="V3289" s="13" t="str">
        <f t="shared" si="311"/>
        <v>funded</v>
      </c>
    </row>
    <row r="3290" spans="1:22" ht="48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8314</v>
      </c>
      <c r="R3290" t="s">
        <v>8315</v>
      </c>
      <c r="S3290" s="14">
        <f t="shared" si="308"/>
        <v>42505.774479166663</v>
      </c>
      <c r="T3290" s="14">
        <f t="shared" si="309"/>
        <v>42541.958333333328</v>
      </c>
      <c r="U3290" s="64">
        <f t="shared" si="310"/>
        <v>36.183854166665697</v>
      </c>
      <c r="V3290" s="13" t="str">
        <f t="shared" si="311"/>
        <v>funded</v>
      </c>
    </row>
    <row r="3291" spans="1:22" ht="48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8314</v>
      </c>
      <c r="R3291" t="s">
        <v>8315</v>
      </c>
      <c r="S3291" s="14">
        <f t="shared" si="308"/>
        <v>42758.368078703701</v>
      </c>
      <c r="T3291" s="14">
        <f t="shared" si="309"/>
        <v>42786.368078703701</v>
      </c>
      <c r="U3291" s="64">
        <f t="shared" si="310"/>
        <v>28</v>
      </c>
      <c r="V3291" s="13" t="str">
        <f t="shared" si="311"/>
        <v>funded</v>
      </c>
    </row>
    <row r="3292" spans="1:22" ht="80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8314</v>
      </c>
      <c r="R3292" t="s">
        <v>8315</v>
      </c>
      <c r="S3292" s="14">
        <f t="shared" si="308"/>
        <v>42775.51494212963</v>
      </c>
      <c r="T3292" s="14">
        <f t="shared" si="309"/>
        <v>42805.51494212963</v>
      </c>
      <c r="U3292" s="64">
        <f t="shared" si="310"/>
        <v>30</v>
      </c>
      <c r="V3292" s="13" t="str">
        <f t="shared" si="311"/>
        <v>funded</v>
      </c>
    </row>
    <row r="3293" spans="1:22" ht="48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8314</v>
      </c>
      <c r="R3293" t="s">
        <v>8315</v>
      </c>
      <c r="S3293" s="14">
        <f t="shared" si="308"/>
        <v>42232.702546296292</v>
      </c>
      <c r="T3293" s="14">
        <f t="shared" si="309"/>
        <v>42264.165972222225</v>
      </c>
      <c r="U3293" s="64">
        <f t="shared" si="310"/>
        <v>31.463425925932825</v>
      </c>
      <c r="V3293" s="13" t="str">
        <f t="shared" si="311"/>
        <v>funded</v>
      </c>
    </row>
    <row r="3294" spans="1:22" ht="48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8314</v>
      </c>
      <c r="R3294" t="s">
        <v>8315</v>
      </c>
      <c r="S3294" s="14">
        <f t="shared" si="308"/>
        <v>42282.770231481481</v>
      </c>
      <c r="T3294" s="14">
        <f t="shared" si="309"/>
        <v>42342.811898148153</v>
      </c>
      <c r="U3294" s="64">
        <f t="shared" si="310"/>
        <v>60.041666666671517</v>
      </c>
      <c r="V3294" s="13" t="str">
        <f t="shared" si="311"/>
        <v>funded</v>
      </c>
    </row>
    <row r="3295" spans="1:22" ht="48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8314</v>
      </c>
      <c r="R3295" t="s">
        <v>8315</v>
      </c>
      <c r="S3295" s="14">
        <f t="shared" si="308"/>
        <v>42768.425370370373</v>
      </c>
      <c r="T3295" s="14">
        <f t="shared" si="309"/>
        <v>42798.425370370373</v>
      </c>
      <c r="U3295" s="64">
        <f t="shared" si="310"/>
        <v>30</v>
      </c>
      <c r="V3295" s="13" t="str">
        <f t="shared" si="311"/>
        <v>funded</v>
      </c>
    </row>
    <row r="3296" spans="1:22" ht="48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8314</v>
      </c>
      <c r="R3296" t="s">
        <v>8315</v>
      </c>
      <c r="S3296" s="14">
        <f t="shared" si="308"/>
        <v>42141.541134259256</v>
      </c>
      <c r="T3296" s="14">
        <f t="shared" si="309"/>
        <v>42171.541134259256</v>
      </c>
      <c r="U3296" s="64">
        <f t="shared" si="310"/>
        <v>30</v>
      </c>
      <c r="V3296" s="13" t="str">
        <f t="shared" si="311"/>
        <v>funded</v>
      </c>
    </row>
    <row r="3297" spans="1:22" ht="48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8314</v>
      </c>
      <c r="R3297" t="s">
        <v>8315</v>
      </c>
      <c r="S3297" s="14">
        <f t="shared" si="308"/>
        <v>42609.442465277782</v>
      </c>
      <c r="T3297" s="14">
        <f t="shared" si="309"/>
        <v>42639.442465277782</v>
      </c>
      <c r="U3297" s="64">
        <f t="shared" si="310"/>
        <v>30</v>
      </c>
      <c r="V3297" s="13" t="str">
        <f t="shared" si="311"/>
        <v>funded</v>
      </c>
    </row>
    <row r="3298" spans="1:22" ht="48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8314</v>
      </c>
      <c r="R3298" t="s">
        <v>8315</v>
      </c>
      <c r="S3298" s="14">
        <f t="shared" si="308"/>
        <v>42309.756620370375</v>
      </c>
      <c r="T3298" s="14">
        <f t="shared" si="309"/>
        <v>42330.916666666672</v>
      </c>
      <c r="U3298" s="64">
        <f t="shared" si="310"/>
        <v>21.160046296296059</v>
      </c>
      <c r="V3298" s="13" t="str">
        <f t="shared" si="311"/>
        <v>funded</v>
      </c>
    </row>
    <row r="3299" spans="1:22" ht="48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8314</v>
      </c>
      <c r="R3299" t="s">
        <v>8315</v>
      </c>
      <c r="S3299" s="14">
        <f t="shared" si="308"/>
        <v>42193.771481481483</v>
      </c>
      <c r="T3299" s="14">
        <f t="shared" si="309"/>
        <v>42212.957638888889</v>
      </c>
      <c r="U3299" s="64">
        <f t="shared" si="310"/>
        <v>19.186157407406427</v>
      </c>
      <c r="V3299" s="13" t="str">
        <f t="shared" si="311"/>
        <v>funded</v>
      </c>
    </row>
    <row r="3300" spans="1:22" ht="48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8314</v>
      </c>
      <c r="R3300" t="s">
        <v>8315</v>
      </c>
      <c r="S3300" s="14">
        <f t="shared" si="308"/>
        <v>42239.957962962959</v>
      </c>
      <c r="T3300" s="14">
        <f t="shared" si="309"/>
        <v>42260</v>
      </c>
      <c r="U3300" s="64">
        <f t="shared" si="310"/>
        <v>20.042037037041155</v>
      </c>
      <c r="V3300" s="13" t="str">
        <f t="shared" si="311"/>
        <v>funded</v>
      </c>
    </row>
    <row r="3301" spans="1:22" ht="48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8314</v>
      </c>
      <c r="R3301" t="s">
        <v>8315</v>
      </c>
      <c r="S3301" s="14">
        <f t="shared" si="308"/>
        <v>42261.917395833334</v>
      </c>
      <c r="T3301" s="14">
        <f t="shared" si="309"/>
        <v>42291.917395833334</v>
      </c>
      <c r="U3301" s="64">
        <f t="shared" si="310"/>
        <v>30</v>
      </c>
      <c r="V3301" s="13" t="str">
        <f t="shared" si="311"/>
        <v>funded</v>
      </c>
    </row>
    <row r="3302" spans="1:22" ht="48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8314</v>
      </c>
      <c r="R3302" t="s">
        <v>8315</v>
      </c>
      <c r="S3302" s="14">
        <f t="shared" si="308"/>
        <v>42102.743773148148</v>
      </c>
      <c r="T3302" s="14">
        <f t="shared" si="309"/>
        <v>42123.743773148148</v>
      </c>
      <c r="U3302" s="64">
        <f t="shared" si="310"/>
        <v>21</v>
      </c>
      <c r="V3302" s="13" t="str">
        <f t="shared" si="311"/>
        <v>funded</v>
      </c>
    </row>
    <row r="3303" spans="1:22" ht="48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8314</v>
      </c>
      <c r="R3303" t="s">
        <v>8315</v>
      </c>
      <c r="S3303" s="14">
        <f t="shared" si="308"/>
        <v>42538.73583333334</v>
      </c>
      <c r="T3303" s="14">
        <f t="shared" si="309"/>
        <v>42583.290972222225</v>
      </c>
      <c r="U3303" s="64">
        <f t="shared" si="310"/>
        <v>44.555138888885267</v>
      </c>
      <c r="V3303" s="13" t="str">
        <f t="shared" si="311"/>
        <v>funded</v>
      </c>
    </row>
    <row r="3304" spans="1:22" ht="16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8314</v>
      </c>
      <c r="R3304" t="s">
        <v>8315</v>
      </c>
      <c r="S3304" s="14">
        <f t="shared" si="308"/>
        <v>42681.35157407407</v>
      </c>
      <c r="T3304" s="14">
        <f t="shared" si="309"/>
        <v>42711.35157407407</v>
      </c>
      <c r="U3304" s="64">
        <f t="shared" si="310"/>
        <v>30</v>
      </c>
      <c r="V3304" s="13" t="str">
        <f t="shared" si="311"/>
        <v>funded</v>
      </c>
    </row>
    <row r="3305" spans="1:22" ht="48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8314</v>
      </c>
      <c r="R3305" t="s">
        <v>8315</v>
      </c>
      <c r="S3305" s="14">
        <f t="shared" si="308"/>
        <v>42056.65143518518</v>
      </c>
      <c r="T3305" s="14">
        <f t="shared" si="309"/>
        <v>42091.609768518523</v>
      </c>
      <c r="U3305" s="64">
        <f t="shared" si="310"/>
        <v>34.958333333343035</v>
      </c>
      <c r="V3305" s="13" t="str">
        <f t="shared" si="311"/>
        <v>funded</v>
      </c>
    </row>
    <row r="3306" spans="1:22" ht="48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8314</v>
      </c>
      <c r="R3306" t="s">
        <v>8315</v>
      </c>
      <c r="S3306" s="14">
        <f t="shared" si="308"/>
        <v>42696.624444444446</v>
      </c>
      <c r="T3306" s="14">
        <f t="shared" si="309"/>
        <v>42726.624444444446</v>
      </c>
      <c r="U3306" s="64">
        <f t="shared" si="310"/>
        <v>30</v>
      </c>
      <c r="V3306" s="13" t="str">
        <f t="shared" si="311"/>
        <v>funded</v>
      </c>
    </row>
    <row r="3307" spans="1:22" ht="48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8314</v>
      </c>
      <c r="R3307" t="s">
        <v>8315</v>
      </c>
      <c r="S3307" s="14">
        <f t="shared" si="308"/>
        <v>42186.855879629627</v>
      </c>
      <c r="T3307" s="14">
        <f t="shared" si="309"/>
        <v>42216.855879629627</v>
      </c>
      <c r="U3307" s="64">
        <f t="shared" si="310"/>
        <v>30</v>
      </c>
      <c r="V3307" s="13" t="str">
        <f t="shared" si="311"/>
        <v>funded</v>
      </c>
    </row>
    <row r="3308" spans="1:22" ht="48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8314</v>
      </c>
      <c r="R3308" t="s">
        <v>8315</v>
      </c>
      <c r="S3308" s="14">
        <f t="shared" si="308"/>
        <v>42493.219236111108</v>
      </c>
      <c r="T3308" s="14">
        <f t="shared" si="309"/>
        <v>42531.125</v>
      </c>
      <c r="U3308" s="64">
        <f t="shared" si="310"/>
        <v>37.90576388889167</v>
      </c>
      <c r="V3308" s="13" t="str">
        <f t="shared" si="311"/>
        <v>funded</v>
      </c>
    </row>
    <row r="3309" spans="1:22" ht="48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8314</v>
      </c>
      <c r="R3309" t="s">
        <v>8315</v>
      </c>
      <c r="S3309" s="14">
        <f t="shared" si="308"/>
        <v>42475.057164351849</v>
      </c>
      <c r="T3309" s="14">
        <f t="shared" si="309"/>
        <v>42505.057164351849</v>
      </c>
      <c r="U3309" s="64">
        <f t="shared" si="310"/>
        <v>30</v>
      </c>
      <c r="V3309" s="13" t="str">
        <f t="shared" si="311"/>
        <v>funded</v>
      </c>
    </row>
    <row r="3310" spans="1:22" ht="48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8314</v>
      </c>
      <c r="R3310" t="s">
        <v>8315</v>
      </c>
      <c r="S3310" s="14">
        <f t="shared" si="308"/>
        <v>42452.876909722225</v>
      </c>
      <c r="T3310" s="14">
        <f t="shared" si="309"/>
        <v>42473.876909722225</v>
      </c>
      <c r="U3310" s="64">
        <f t="shared" si="310"/>
        <v>21</v>
      </c>
      <c r="V3310" s="13" t="str">
        <f t="shared" si="311"/>
        <v>funded</v>
      </c>
    </row>
    <row r="3311" spans="1:22" ht="3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8314</v>
      </c>
      <c r="R3311" t="s">
        <v>8315</v>
      </c>
      <c r="S3311" s="14">
        <f t="shared" si="308"/>
        <v>42628.650208333333</v>
      </c>
      <c r="T3311" s="14">
        <f t="shared" si="309"/>
        <v>42659.650208333333</v>
      </c>
      <c r="U3311" s="64">
        <f t="shared" si="310"/>
        <v>31</v>
      </c>
      <c r="V3311" s="13" t="str">
        <f t="shared" si="311"/>
        <v>funded</v>
      </c>
    </row>
    <row r="3312" spans="1:22" ht="3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8314</v>
      </c>
      <c r="R3312" t="s">
        <v>8315</v>
      </c>
      <c r="S3312" s="14">
        <f t="shared" si="308"/>
        <v>42253.928530092591</v>
      </c>
      <c r="T3312" s="14">
        <f t="shared" si="309"/>
        <v>42283.928530092591</v>
      </c>
      <c r="U3312" s="64">
        <f t="shared" si="310"/>
        <v>30</v>
      </c>
      <c r="V3312" s="13" t="str">
        <f t="shared" si="311"/>
        <v>funded</v>
      </c>
    </row>
    <row r="3313" spans="1:22" ht="48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8314</v>
      </c>
      <c r="R3313" t="s">
        <v>8315</v>
      </c>
      <c r="S3313" s="14">
        <f t="shared" si="308"/>
        <v>42264.29178240741</v>
      </c>
      <c r="T3313" s="14">
        <f t="shared" si="309"/>
        <v>42294.29178240741</v>
      </c>
      <c r="U3313" s="64">
        <f t="shared" si="310"/>
        <v>30</v>
      </c>
      <c r="V3313" s="13" t="str">
        <f t="shared" si="311"/>
        <v>funded</v>
      </c>
    </row>
    <row r="3314" spans="1:22" ht="48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8314</v>
      </c>
      <c r="R3314" t="s">
        <v>8315</v>
      </c>
      <c r="S3314" s="14">
        <f t="shared" si="308"/>
        <v>42664.809560185182</v>
      </c>
      <c r="T3314" s="14">
        <f t="shared" si="309"/>
        <v>42685.916666666672</v>
      </c>
      <c r="U3314" s="64">
        <f t="shared" si="310"/>
        <v>21.107106481489609</v>
      </c>
      <c r="V3314" s="13" t="str">
        <f t="shared" si="311"/>
        <v>funded</v>
      </c>
    </row>
    <row r="3315" spans="1:22" ht="48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8314</v>
      </c>
      <c r="R3315" t="s">
        <v>8315</v>
      </c>
      <c r="S3315" s="14">
        <f t="shared" si="308"/>
        <v>42382.244409722218</v>
      </c>
      <c r="T3315" s="14">
        <f t="shared" si="309"/>
        <v>42396.041666666672</v>
      </c>
      <c r="U3315" s="64">
        <f t="shared" si="310"/>
        <v>13.797256944453693</v>
      </c>
      <c r="V3315" s="13" t="str">
        <f t="shared" si="311"/>
        <v>funded</v>
      </c>
    </row>
    <row r="3316" spans="1:22" ht="48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8314</v>
      </c>
      <c r="R3316" t="s">
        <v>8315</v>
      </c>
      <c r="S3316" s="14">
        <f t="shared" si="308"/>
        <v>42105.267488425925</v>
      </c>
      <c r="T3316" s="14">
        <f t="shared" si="309"/>
        <v>42132.836805555555</v>
      </c>
      <c r="U3316" s="64">
        <f t="shared" si="310"/>
        <v>27.569317129629781</v>
      </c>
      <c r="V3316" s="13" t="str">
        <f t="shared" si="311"/>
        <v>funded</v>
      </c>
    </row>
    <row r="3317" spans="1:22" ht="48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8314</v>
      </c>
      <c r="R3317" t="s">
        <v>8315</v>
      </c>
      <c r="S3317" s="14">
        <f t="shared" si="308"/>
        <v>42466.303715277783</v>
      </c>
      <c r="T3317" s="14">
        <f t="shared" si="309"/>
        <v>42496.303715277783</v>
      </c>
      <c r="U3317" s="64">
        <f t="shared" si="310"/>
        <v>30</v>
      </c>
      <c r="V3317" s="13" t="str">
        <f t="shared" si="311"/>
        <v>funded</v>
      </c>
    </row>
    <row r="3318" spans="1:22" ht="80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8314</v>
      </c>
      <c r="R3318" t="s">
        <v>8315</v>
      </c>
      <c r="S3318" s="14">
        <f t="shared" si="308"/>
        <v>41826.871238425927</v>
      </c>
      <c r="T3318" s="14">
        <f t="shared" si="309"/>
        <v>41859.57916666667</v>
      </c>
      <c r="U3318" s="64">
        <f t="shared" si="310"/>
        <v>32.707928240743058</v>
      </c>
      <c r="V3318" s="13" t="str">
        <f t="shared" si="311"/>
        <v>funded</v>
      </c>
    </row>
    <row r="3319" spans="1:22" ht="48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8314</v>
      </c>
      <c r="R3319" t="s">
        <v>8315</v>
      </c>
      <c r="S3319" s="14">
        <f t="shared" si="308"/>
        <v>42499.039629629624</v>
      </c>
      <c r="T3319" s="14">
        <f t="shared" si="309"/>
        <v>42529.039629629624</v>
      </c>
      <c r="U3319" s="64">
        <f t="shared" si="310"/>
        <v>30</v>
      </c>
      <c r="V3319" s="13" t="str">
        <f t="shared" si="311"/>
        <v>funded</v>
      </c>
    </row>
    <row r="3320" spans="1:22" ht="3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8314</v>
      </c>
      <c r="R3320" t="s">
        <v>8315</v>
      </c>
      <c r="S3320" s="14">
        <f t="shared" si="308"/>
        <v>42431.302002314813</v>
      </c>
      <c r="T3320" s="14">
        <f t="shared" si="309"/>
        <v>42471.104166666672</v>
      </c>
      <c r="U3320" s="64">
        <f t="shared" si="310"/>
        <v>39.802164351858664</v>
      </c>
      <c r="V3320" s="13" t="str">
        <f t="shared" si="311"/>
        <v>funded</v>
      </c>
    </row>
    <row r="3321" spans="1:22" ht="48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8314</v>
      </c>
      <c r="R3321" t="s">
        <v>8315</v>
      </c>
      <c r="S3321" s="14">
        <f t="shared" si="308"/>
        <v>41990.585486111115</v>
      </c>
      <c r="T3321" s="14">
        <f t="shared" si="309"/>
        <v>42035.585486111115</v>
      </c>
      <c r="U3321" s="64">
        <f t="shared" si="310"/>
        <v>45</v>
      </c>
      <c r="V3321" s="13" t="str">
        <f t="shared" si="311"/>
        <v>funded</v>
      </c>
    </row>
    <row r="3322" spans="1:22" ht="48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8314</v>
      </c>
      <c r="R3322" t="s">
        <v>8315</v>
      </c>
      <c r="S3322" s="14">
        <f t="shared" si="308"/>
        <v>42513.045798611114</v>
      </c>
      <c r="T3322" s="14">
        <f t="shared" si="309"/>
        <v>42543.045798611114</v>
      </c>
      <c r="U3322" s="64">
        <f t="shared" si="310"/>
        <v>30</v>
      </c>
      <c r="V3322" s="13" t="str">
        <f t="shared" si="311"/>
        <v>funded</v>
      </c>
    </row>
    <row r="3323" spans="1:22" ht="48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8314</v>
      </c>
      <c r="R3323" t="s">
        <v>8315</v>
      </c>
      <c r="S3323" s="14">
        <f t="shared" si="308"/>
        <v>41914.100289351853</v>
      </c>
      <c r="T3323" s="14">
        <f t="shared" si="309"/>
        <v>41928.165972222225</v>
      </c>
      <c r="U3323" s="64">
        <f t="shared" si="310"/>
        <v>14.065682870372257</v>
      </c>
      <c r="V3323" s="13" t="str">
        <f t="shared" si="311"/>
        <v>funded</v>
      </c>
    </row>
    <row r="3324" spans="1:22" ht="48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8314</v>
      </c>
      <c r="R3324" t="s">
        <v>8315</v>
      </c>
      <c r="S3324" s="14">
        <f t="shared" si="308"/>
        <v>42521.010370370372</v>
      </c>
      <c r="T3324" s="14">
        <f t="shared" si="309"/>
        <v>42543.163194444445</v>
      </c>
      <c r="U3324" s="64">
        <f t="shared" si="310"/>
        <v>22.152824074073578</v>
      </c>
      <c r="V3324" s="13" t="str">
        <f t="shared" si="311"/>
        <v>funded</v>
      </c>
    </row>
    <row r="3325" spans="1:22" ht="48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8314</v>
      </c>
      <c r="R3325" t="s">
        <v>8315</v>
      </c>
      <c r="S3325" s="14">
        <f t="shared" si="308"/>
        <v>42608.36583333333</v>
      </c>
      <c r="T3325" s="14">
        <f t="shared" si="309"/>
        <v>42638.36583333333</v>
      </c>
      <c r="U3325" s="64">
        <f t="shared" si="310"/>
        <v>30</v>
      </c>
      <c r="V3325" s="13" t="str">
        <f t="shared" si="311"/>
        <v>funded</v>
      </c>
    </row>
    <row r="3326" spans="1:22" ht="3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8314</v>
      </c>
      <c r="R3326" t="s">
        <v>8315</v>
      </c>
      <c r="S3326" s="14">
        <f t="shared" si="308"/>
        <v>42512.58321759259</v>
      </c>
      <c r="T3326" s="14">
        <f t="shared" si="309"/>
        <v>42526.58321759259</v>
      </c>
      <c r="U3326" s="64">
        <f t="shared" si="310"/>
        <v>14</v>
      </c>
      <c r="V3326" s="13" t="str">
        <f t="shared" si="311"/>
        <v>funded</v>
      </c>
    </row>
    <row r="3327" spans="1:22" ht="48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8314</v>
      </c>
      <c r="R3327" t="s">
        <v>8315</v>
      </c>
      <c r="S3327" s="14">
        <f t="shared" si="308"/>
        <v>42064.785613425927</v>
      </c>
      <c r="T3327" s="14">
        <f t="shared" si="309"/>
        <v>42099.743946759263</v>
      </c>
      <c r="U3327" s="64">
        <f t="shared" si="310"/>
        <v>34.958333333335759</v>
      </c>
      <c r="V3327" s="13" t="str">
        <f t="shared" si="311"/>
        <v>funded</v>
      </c>
    </row>
    <row r="3328" spans="1:22" ht="48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8314</v>
      </c>
      <c r="R3328" t="s">
        <v>8315</v>
      </c>
      <c r="S3328" s="14">
        <f t="shared" si="308"/>
        <v>42041.714178240742</v>
      </c>
      <c r="T3328" s="14">
        <f t="shared" si="309"/>
        <v>42071.67251157407</v>
      </c>
      <c r="U3328" s="64">
        <f t="shared" si="310"/>
        <v>29.958333333328483</v>
      </c>
      <c r="V3328" s="13" t="str">
        <f t="shared" si="311"/>
        <v>funded</v>
      </c>
    </row>
    <row r="3329" spans="1:22" ht="48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8314</v>
      </c>
      <c r="R3329" t="s">
        <v>8315</v>
      </c>
      <c r="S3329" s="14">
        <f t="shared" si="308"/>
        <v>42468.374606481477</v>
      </c>
      <c r="T3329" s="14">
        <f t="shared" si="309"/>
        <v>42498.374606481477</v>
      </c>
      <c r="U3329" s="64">
        <f t="shared" si="310"/>
        <v>30</v>
      </c>
      <c r="V3329" s="13" t="str">
        <f t="shared" si="311"/>
        <v>funded</v>
      </c>
    </row>
    <row r="3330" spans="1:22" ht="48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</v>
      </c>
      <c r="P3330">
        <f t="shared" si="307"/>
        <v>292.77999999999997</v>
      </c>
      <c r="Q3330" s="10" t="s">
        <v>8314</v>
      </c>
      <c r="R3330" t="s">
        <v>8315</v>
      </c>
      <c r="S3330" s="14">
        <f t="shared" si="308"/>
        <v>41822.57503472222</v>
      </c>
      <c r="T3330" s="14">
        <f t="shared" si="309"/>
        <v>41825.041666666664</v>
      </c>
      <c r="U3330" s="64">
        <f t="shared" si="310"/>
        <v>2.4666319444440887</v>
      </c>
      <c r="V3330" s="13" t="str">
        <f t="shared" si="311"/>
        <v>funded</v>
      </c>
    </row>
    <row r="3331" spans="1:22" ht="48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>ROUND(E3331/D3331*100,0)</f>
        <v>117</v>
      </c>
      <c r="P3331">
        <f t="shared" ref="P3331:P3394" si="313">IFERROR(ROUND(E3331/L3331,2), 0)</f>
        <v>44.92</v>
      </c>
      <c r="Q3331" s="10" t="s">
        <v>8314</v>
      </c>
      <c r="R3331" t="s">
        <v>8315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 s="64">
        <f t="shared" ref="U3331:V3394" si="316">T3331-S3331</f>
        <v>10.635324074079108</v>
      </c>
      <c r="V3331" s="13" t="str">
        <f t="shared" ref="V3331:V3394" si="317">IF(E3331&gt;=D3331, "funded", "underfunded")</f>
        <v>funded</v>
      </c>
    </row>
    <row r="3332" spans="1:22" ht="48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8314</v>
      </c>
      <c r="R3332" t="s">
        <v>8315</v>
      </c>
      <c r="S3332" s="14">
        <f t="shared" si="314"/>
        <v>42065.887361111112</v>
      </c>
      <c r="T3332" s="14">
        <f t="shared" si="315"/>
        <v>42095.845694444448</v>
      </c>
      <c r="U3332" s="64">
        <f t="shared" si="316"/>
        <v>29.958333333335759</v>
      </c>
      <c r="V3332" s="13" t="str">
        <f t="shared" si="317"/>
        <v>funded</v>
      </c>
    </row>
    <row r="3333" spans="1:22" ht="48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8314</v>
      </c>
      <c r="R3333" t="s">
        <v>8315</v>
      </c>
      <c r="S3333" s="14">
        <f t="shared" si="314"/>
        <v>42248.697754629626</v>
      </c>
      <c r="T3333" s="14">
        <f t="shared" si="315"/>
        <v>42283.697754629626</v>
      </c>
      <c r="U3333" s="64">
        <f t="shared" si="316"/>
        <v>35</v>
      </c>
      <c r="V3333" s="13" t="str">
        <f t="shared" si="317"/>
        <v>funded</v>
      </c>
    </row>
    <row r="3334" spans="1:22" ht="48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8314</v>
      </c>
      <c r="R3334" t="s">
        <v>8315</v>
      </c>
      <c r="S3334" s="14">
        <f t="shared" si="314"/>
        <v>41809.860300925924</v>
      </c>
      <c r="T3334" s="14">
        <f t="shared" si="315"/>
        <v>41839.860300925924</v>
      </c>
      <c r="U3334" s="64">
        <f t="shared" si="316"/>
        <v>30</v>
      </c>
      <c r="V3334" s="13" t="str">
        <f t="shared" si="317"/>
        <v>funded</v>
      </c>
    </row>
    <row r="3335" spans="1:22" ht="48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8314</v>
      </c>
      <c r="R3335" t="s">
        <v>8315</v>
      </c>
      <c r="S3335" s="14">
        <f t="shared" si="314"/>
        <v>42148.676851851851</v>
      </c>
      <c r="T3335" s="14">
        <f t="shared" si="315"/>
        <v>42170.676851851851</v>
      </c>
      <c r="U3335" s="64">
        <f t="shared" si="316"/>
        <v>22</v>
      </c>
      <c r="V3335" s="13" t="str">
        <f t="shared" si="317"/>
        <v>funded</v>
      </c>
    </row>
    <row r="3336" spans="1:22" ht="3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8314</v>
      </c>
      <c r="R3336" t="s">
        <v>8315</v>
      </c>
      <c r="S3336" s="14">
        <f t="shared" si="314"/>
        <v>42185.521087962959</v>
      </c>
      <c r="T3336" s="14">
        <f t="shared" si="315"/>
        <v>42215.521087962959</v>
      </c>
      <c r="U3336" s="64">
        <f t="shared" si="316"/>
        <v>30</v>
      </c>
      <c r="V3336" s="13" t="str">
        <f t="shared" si="317"/>
        <v>funded</v>
      </c>
    </row>
    <row r="3337" spans="1:22" ht="48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8314</v>
      </c>
      <c r="R3337" t="s">
        <v>8315</v>
      </c>
      <c r="S3337" s="14">
        <f t="shared" si="314"/>
        <v>41827.674143518518</v>
      </c>
      <c r="T3337" s="14">
        <f t="shared" si="315"/>
        <v>41854.958333333336</v>
      </c>
      <c r="U3337" s="64">
        <f t="shared" si="316"/>
        <v>27.284189814818092</v>
      </c>
      <c r="V3337" s="13" t="str">
        <f t="shared" si="317"/>
        <v>funded</v>
      </c>
    </row>
    <row r="3338" spans="1:22" ht="48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8314</v>
      </c>
      <c r="R3338" t="s">
        <v>8315</v>
      </c>
      <c r="S3338" s="14">
        <f t="shared" si="314"/>
        <v>42437.398680555561</v>
      </c>
      <c r="T3338" s="14">
        <f t="shared" si="315"/>
        <v>42465.35701388889</v>
      </c>
      <c r="U3338" s="64">
        <f t="shared" si="316"/>
        <v>27.958333333328483</v>
      </c>
      <c r="V3338" s="13" t="str">
        <f t="shared" si="317"/>
        <v>funded</v>
      </c>
    </row>
    <row r="3339" spans="1:22" ht="48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8314</v>
      </c>
      <c r="R3339" t="s">
        <v>8315</v>
      </c>
      <c r="S3339" s="14">
        <f t="shared" si="314"/>
        <v>41901.282025462962</v>
      </c>
      <c r="T3339" s="14">
        <f t="shared" si="315"/>
        <v>41922.875</v>
      </c>
      <c r="U3339" s="64">
        <f t="shared" si="316"/>
        <v>21.592974537037662</v>
      </c>
      <c r="V3339" s="13" t="str">
        <f t="shared" si="317"/>
        <v>funded</v>
      </c>
    </row>
    <row r="3340" spans="1:22" ht="3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8314</v>
      </c>
      <c r="R3340" t="s">
        <v>8315</v>
      </c>
      <c r="S3340" s="14">
        <f t="shared" si="314"/>
        <v>42769.574999999997</v>
      </c>
      <c r="T3340" s="14">
        <f t="shared" si="315"/>
        <v>42790.574999999997</v>
      </c>
      <c r="U3340" s="64">
        <f t="shared" si="316"/>
        <v>21</v>
      </c>
      <c r="V3340" s="13" t="str">
        <f t="shared" si="317"/>
        <v>funded</v>
      </c>
    </row>
    <row r="3341" spans="1:22" ht="3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8314</v>
      </c>
      <c r="R3341" t="s">
        <v>8315</v>
      </c>
      <c r="S3341" s="14">
        <f t="shared" si="314"/>
        <v>42549.665717592594</v>
      </c>
      <c r="T3341" s="14">
        <f t="shared" si="315"/>
        <v>42579.665717592594</v>
      </c>
      <c r="U3341" s="64">
        <f t="shared" si="316"/>
        <v>30</v>
      </c>
      <c r="V3341" s="13" t="str">
        <f t="shared" si="317"/>
        <v>funded</v>
      </c>
    </row>
    <row r="3342" spans="1:22" ht="48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8314</v>
      </c>
      <c r="R3342" t="s">
        <v>8315</v>
      </c>
      <c r="S3342" s="14">
        <f t="shared" si="314"/>
        <v>42685.974004629628</v>
      </c>
      <c r="T3342" s="14">
        <f t="shared" si="315"/>
        <v>42710.974004629628</v>
      </c>
      <c r="U3342" s="64">
        <f t="shared" si="316"/>
        <v>25</v>
      </c>
      <c r="V3342" s="13" t="str">
        <f t="shared" si="317"/>
        <v>funded</v>
      </c>
    </row>
    <row r="3343" spans="1:22" ht="48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8314</v>
      </c>
      <c r="R3343" t="s">
        <v>8315</v>
      </c>
      <c r="S3343" s="14">
        <f t="shared" si="314"/>
        <v>42510.798854166671</v>
      </c>
      <c r="T3343" s="14">
        <f t="shared" si="315"/>
        <v>42533.708333333328</v>
      </c>
      <c r="U3343" s="64">
        <f t="shared" si="316"/>
        <v>22.909479166657547</v>
      </c>
      <c r="V3343" s="13" t="str">
        <f t="shared" si="317"/>
        <v>funded</v>
      </c>
    </row>
    <row r="3344" spans="1:22" ht="3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8314</v>
      </c>
      <c r="R3344" t="s">
        <v>8315</v>
      </c>
      <c r="S3344" s="14">
        <f t="shared" si="314"/>
        <v>42062.296412037031</v>
      </c>
      <c r="T3344" s="14">
        <f t="shared" si="315"/>
        <v>42095.207638888889</v>
      </c>
      <c r="U3344" s="64">
        <f t="shared" si="316"/>
        <v>32.911226851858373</v>
      </c>
      <c r="V3344" s="13" t="str">
        <f t="shared" si="317"/>
        <v>funded</v>
      </c>
    </row>
    <row r="3345" spans="1:22" ht="48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8314</v>
      </c>
      <c r="R3345" t="s">
        <v>8315</v>
      </c>
      <c r="S3345" s="14">
        <f t="shared" si="314"/>
        <v>42452.916481481487</v>
      </c>
      <c r="T3345" s="14">
        <f t="shared" si="315"/>
        <v>42473.554166666669</v>
      </c>
      <c r="U3345" s="64">
        <f t="shared" si="316"/>
        <v>20.637685185181908</v>
      </c>
      <c r="V3345" s="13" t="str">
        <f t="shared" si="317"/>
        <v>funded</v>
      </c>
    </row>
    <row r="3346" spans="1:22" ht="48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8314</v>
      </c>
      <c r="R3346" t="s">
        <v>8315</v>
      </c>
      <c r="S3346" s="14">
        <f t="shared" si="314"/>
        <v>41851.200150462959</v>
      </c>
      <c r="T3346" s="14">
        <f t="shared" si="315"/>
        <v>41881.200150462959</v>
      </c>
      <c r="U3346" s="64">
        <f t="shared" si="316"/>
        <v>30</v>
      </c>
      <c r="V3346" s="13" t="str">
        <f t="shared" si="317"/>
        <v>funded</v>
      </c>
    </row>
    <row r="3347" spans="1:22" ht="48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8314</v>
      </c>
      <c r="R3347" t="s">
        <v>8315</v>
      </c>
      <c r="S3347" s="14">
        <f t="shared" si="314"/>
        <v>42053.106111111112</v>
      </c>
      <c r="T3347" s="14">
        <f t="shared" si="315"/>
        <v>42112.025694444441</v>
      </c>
      <c r="U3347" s="64">
        <f t="shared" si="316"/>
        <v>58.919583333328774</v>
      </c>
      <c r="V3347" s="13" t="str">
        <f t="shared" si="317"/>
        <v>funded</v>
      </c>
    </row>
    <row r="3348" spans="1:22" ht="48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8314</v>
      </c>
      <c r="R3348" t="s">
        <v>8315</v>
      </c>
      <c r="S3348" s="14">
        <f t="shared" si="314"/>
        <v>42054.024421296301</v>
      </c>
      <c r="T3348" s="14">
        <f t="shared" si="315"/>
        <v>42061.024421296301</v>
      </c>
      <c r="U3348" s="64">
        <f t="shared" si="316"/>
        <v>7</v>
      </c>
      <c r="V3348" s="13" t="str">
        <f t="shared" si="317"/>
        <v>funded</v>
      </c>
    </row>
    <row r="3349" spans="1:22" ht="48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8314</v>
      </c>
      <c r="R3349" t="s">
        <v>8315</v>
      </c>
      <c r="S3349" s="14">
        <f t="shared" si="314"/>
        <v>42484.551550925928</v>
      </c>
      <c r="T3349" s="14">
        <f t="shared" si="315"/>
        <v>42498.875</v>
      </c>
      <c r="U3349" s="64">
        <f t="shared" si="316"/>
        <v>14.323449074072414</v>
      </c>
      <c r="V3349" s="13" t="str">
        <f t="shared" si="317"/>
        <v>funded</v>
      </c>
    </row>
    <row r="3350" spans="1:22" ht="48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8314</v>
      </c>
      <c r="R3350" t="s">
        <v>8315</v>
      </c>
      <c r="S3350" s="14">
        <f t="shared" si="314"/>
        <v>42466.558796296296</v>
      </c>
      <c r="T3350" s="14">
        <f t="shared" si="315"/>
        <v>42490.165972222225</v>
      </c>
      <c r="U3350" s="64">
        <f t="shared" si="316"/>
        <v>23.607175925928459</v>
      </c>
      <c r="V3350" s="13" t="str">
        <f t="shared" si="317"/>
        <v>funded</v>
      </c>
    </row>
    <row r="3351" spans="1:22" ht="48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8314</v>
      </c>
      <c r="R3351" t="s">
        <v>8315</v>
      </c>
      <c r="S3351" s="14">
        <f t="shared" si="314"/>
        <v>42513.110787037032</v>
      </c>
      <c r="T3351" s="14">
        <f t="shared" si="315"/>
        <v>42534.708333333328</v>
      </c>
      <c r="U3351" s="64">
        <f t="shared" si="316"/>
        <v>21.597546296296059</v>
      </c>
      <c r="V3351" s="13" t="str">
        <f t="shared" si="317"/>
        <v>funded</v>
      </c>
    </row>
    <row r="3352" spans="1:22" ht="48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8314</v>
      </c>
      <c r="R3352" t="s">
        <v>8315</v>
      </c>
      <c r="S3352" s="14">
        <f t="shared" si="314"/>
        <v>42302.701516203699</v>
      </c>
      <c r="T3352" s="14">
        <f t="shared" si="315"/>
        <v>42337.958333333328</v>
      </c>
      <c r="U3352" s="64">
        <f t="shared" si="316"/>
        <v>35.256817129629781</v>
      </c>
      <c r="V3352" s="13" t="str">
        <f t="shared" si="317"/>
        <v>funded</v>
      </c>
    </row>
    <row r="3353" spans="1:22" ht="48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8314</v>
      </c>
      <c r="R3353" t="s">
        <v>8315</v>
      </c>
      <c r="S3353" s="14">
        <f t="shared" si="314"/>
        <v>41806.395428240743</v>
      </c>
      <c r="T3353" s="14">
        <f t="shared" si="315"/>
        <v>41843.458333333336</v>
      </c>
      <c r="U3353" s="64">
        <f t="shared" si="316"/>
        <v>37.0629050925927</v>
      </c>
      <c r="V3353" s="13" t="str">
        <f t="shared" si="317"/>
        <v>funded</v>
      </c>
    </row>
    <row r="3354" spans="1:22" ht="48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8314</v>
      </c>
      <c r="R3354" t="s">
        <v>8315</v>
      </c>
      <c r="S3354" s="14">
        <f t="shared" si="314"/>
        <v>42495.992800925931</v>
      </c>
      <c r="T3354" s="14">
        <f t="shared" si="315"/>
        <v>42552.958333333328</v>
      </c>
      <c r="U3354" s="64">
        <f t="shared" si="316"/>
        <v>56.965532407397404</v>
      </c>
      <c r="V3354" s="13" t="str">
        <f t="shared" si="317"/>
        <v>funded</v>
      </c>
    </row>
    <row r="3355" spans="1:22" ht="48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8314</v>
      </c>
      <c r="R3355" t="s">
        <v>8315</v>
      </c>
      <c r="S3355" s="14">
        <f t="shared" si="314"/>
        <v>42479.432291666672</v>
      </c>
      <c r="T3355" s="14">
        <f t="shared" si="315"/>
        <v>42492.958333333328</v>
      </c>
      <c r="U3355" s="64">
        <f t="shared" si="316"/>
        <v>13.526041666656965</v>
      </c>
      <c r="V3355" s="13" t="str">
        <f t="shared" si="317"/>
        <v>funded</v>
      </c>
    </row>
    <row r="3356" spans="1:22" ht="3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8314</v>
      </c>
      <c r="R3356" t="s">
        <v>8315</v>
      </c>
      <c r="S3356" s="14">
        <f t="shared" si="314"/>
        <v>42270.7269212963</v>
      </c>
      <c r="T3356" s="14">
        <f t="shared" si="315"/>
        <v>42306.167361111111</v>
      </c>
      <c r="U3356" s="64">
        <f t="shared" si="316"/>
        <v>35.440439814810816</v>
      </c>
      <c r="V3356" s="13" t="str">
        <f t="shared" si="317"/>
        <v>funded</v>
      </c>
    </row>
    <row r="3357" spans="1:22" ht="48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8314</v>
      </c>
      <c r="R3357" t="s">
        <v>8315</v>
      </c>
      <c r="S3357" s="14">
        <f t="shared" si="314"/>
        <v>42489.619525462964</v>
      </c>
      <c r="T3357" s="14">
        <f t="shared" si="315"/>
        <v>42500.470138888893</v>
      </c>
      <c r="U3357" s="64">
        <f t="shared" si="316"/>
        <v>10.850613425929623</v>
      </c>
      <c r="V3357" s="13" t="str">
        <f t="shared" si="317"/>
        <v>funded</v>
      </c>
    </row>
    <row r="3358" spans="1:22" ht="48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8314</v>
      </c>
      <c r="R3358" t="s">
        <v>8315</v>
      </c>
      <c r="S3358" s="14">
        <f t="shared" si="314"/>
        <v>42536.815648148149</v>
      </c>
      <c r="T3358" s="14">
        <f t="shared" si="315"/>
        <v>42566.815648148149</v>
      </c>
      <c r="U3358" s="64">
        <f t="shared" si="316"/>
        <v>30</v>
      </c>
      <c r="V3358" s="13" t="str">
        <f t="shared" si="317"/>
        <v>funded</v>
      </c>
    </row>
    <row r="3359" spans="1:22" ht="48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8314</v>
      </c>
      <c r="R3359" t="s">
        <v>8315</v>
      </c>
      <c r="S3359" s="14">
        <f t="shared" si="314"/>
        <v>41822.417939814812</v>
      </c>
      <c r="T3359" s="14">
        <f t="shared" si="315"/>
        <v>41852.417939814812</v>
      </c>
      <c r="U3359" s="64">
        <f t="shared" si="316"/>
        <v>30</v>
      </c>
      <c r="V3359" s="13" t="str">
        <f t="shared" si="317"/>
        <v>funded</v>
      </c>
    </row>
    <row r="3360" spans="1:22" ht="48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8314</v>
      </c>
      <c r="R3360" t="s">
        <v>8315</v>
      </c>
      <c r="S3360" s="14">
        <f t="shared" si="314"/>
        <v>41932.311099537037</v>
      </c>
      <c r="T3360" s="14">
        <f t="shared" si="315"/>
        <v>41962.352766203709</v>
      </c>
      <c r="U3360" s="64">
        <f t="shared" si="316"/>
        <v>30.041666666671517</v>
      </c>
      <c r="V3360" s="13" t="str">
        <f t="shared" si="317"/>
        <v>funded</v>
      </c>
    </row>
    <row r="3361" spans="1:22" ht="3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8314</v>
      </c>
      <c r="R3361" t="s">
        <v>8315</v>
      </c>
      <c r="S3361" s="14">
        <f t="shared" si="314"/>
        <v>42746.057106481487</v>
      </c>
      <c r="T3361" s="14">
        <f t="shared" si="315"/>
        <v>42791.057106481487</v>
      </c>
      <c r="U3361" s="64">
        <f t="shared" si="316"/>
        <v>45</v>
      </c>
      <c r="V3361" s="13" t="str">
        <f t="shared" si="317"/>
        <v>funded</v>
      </c>
    </row>
    <row r="3362" spans="1:22" ht="3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8314</v>
      </c>
      <c r="R3362" t="s">
        <v>8315</v>
      </c>
      <c r="S3362" s="14">
        <f t="shared" si="314"/>
        <v>42697.082673611112</v>
      </c>
      <c r="T3362" s="14">
        <f t="shared" si="315"/>
        <v>42718.665972222225</v>
      </c>
      <c r="U3362" s="64">
        <f t="shared" si="316"/>
        <v>21.583298611112696</v>
      </c>
      <c r="V3362" s="13" t="str">
        <f t="shared" si="317"/>
        <v>funded</v>
      </c>
    </row>
    <row r="3363" spans="1:22" ht="48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8314</v>
      </c>
      <c r="R3363" t="s">
        <v>8315</v>
      </c>
      <c r="S3363" s="14">
        <f t="shared" si="314"/>
        <v>41866.025347222225</v>
      </c>
      <c r="T3363" s="14">
        <f t="shared" si="315"/>
        <v>41883.665972222225</v>
      </c>
      <c r="U3363" s="64">
        <f t="shared" si="316"/>
        <v>17.640625</v>
      </c>
      <c r="V3363" s="13" t="str">
        <f t="shared" si="317"/>
        <v>funded</v>
      </c>
    </row>
    <row r="3364" spans="1:22" ht="48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8314</v>
      </c>
      <c r="R3364" t="s">
        <v>8315</v>
      </c>
      <c r="S3364" s="14">
        <f t="shared" si="314"/>
        <v>42056.091631944444</v>
      </c>
      <c r="T3364" s="14">
        <f t="shared" si="315"/>
        <v>42070.204861111109</v>
      </c>
      <c r="U3364" s="64">
        <f t="shared" si="316"/>
        <v>14.113229166665406</v>
      </c>
      <c r="V3364" s="13" t="str">
        <f t="shared" si="317"/>
        <v>funded</v>
      </c>
    </row>
    <row r="3365" spans="1:22" ht="48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8314</v>
      </c>
      <c r="R3365" t="s">
        <v>8315</v>
      </c>
      <c r="S3365" s="14">
        <f t="shared" si="314"/>
        <v>41851.771354166667</v>
      </c>
      <c r="T3365" s="14">
        <f t="shared" si="315"/>
        <v>41870.666666666664</v>
      </c>
      <c r="U3365" s="64">
        <f t="shared" si="316"/>
        <v>18.89531249999709</v>
      </c>
      <c r="V3365" s="13" t="str">
        <f t="shared" si="317"/>
        <v>funded</v>
      </c>
    </row>
    <row r="3366" spans="1:22" ht="48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8314</v>
      </c>
      <c r="R3366" t="s">
        <v>8315</v>
      </c>
      <c r="S3366" s="14">
        <f t="shared" si="314"/>
        <v>42422.977418981478</v>
      </c>
      <c r="T3366" s="14">
        <f t="shared" si="315"/>
        <v>42444.875</v>
      </c>
      <c r="U3366" s="64">
        <f t="shared" si="316"/>
        <v>21.897581018522033</v>
      </c>
      <c r="V3366" s="13" t="str">
        <f t="shared" si="317"/>
        <v>funded</v>
      </c>
    </row>
    <row r="3367" spans="1:22" ht="48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8314</v>
      </c>
      <c r="R3367" t="s">
        <v>8315</v>
      </c>
      <c r="S3367" s="14">
        <f t="shared" si="314"/>
        <v>42321.101759259262</v>
      </c>
      <c r="T3367" s="14">
        <f t="shared" si="315"/>
        <v>42351.101759259262</v>
      </c>
      <c r="U3367" s="64">
        <f t="shared" si="316"/>
        <v>30</v>
      </c>
      <c r="V3367" s="13" t="str">
        <f t="shared" si="317"/>
        <v>funded</v>
      </c>
    </row>
    <row r="3368" spans="1:22" ht="48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8314</v>
      </c>
      <c r="R3368" t="s">
        <v>8315</v>
      </c>
      <c r="S3368" s="14">
        <f t="shared" si="314"/>
        <v>42107.067557870367</v>
      </c>
      <c r="T3368" s="14">
        <f t="shared" si="315"/>
        <v>42137.067557870367</v>
      </c>
      <c r="U3368" s="64">
        <f t="shared" si="316"/>
        <v>30</v>
      </c>
      <c r="V3368" s="13" t="str">
        <f t="shared" si="317"/>
        <v>funded</v>
      </c>
    </row>
    <row r="3369" spans="1:22" ht="48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8314</v>
      </c>
      <c r="R3369" t="s">
        <v>8315</v>
      </c>
      <c r="S3369" s="14">
        <f t="shared" si="314"/>
        <v>42192.933958333335</v>
      </c>
      <c r="T3369" s="14">
        <f t="shared" si="315"/>
        <v>42217.933958333335</v>
      </c>
      <c r="U3369" s="64">
        <f t="shared" si="316"/>
        <v>25</v>
      </c>
      <c r="V3369" s="13" t="str">
        <f t="shared" si="317"/>
        <v>funded</v>
      </c>
    </row>
    <row r="3370" spans="1:22" ht="48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8314</v>
      </c>
      <c r="R3370" t="s">
        <v>8315</v>
      </c>
      <c r="S3370" s="14">
        <f t="shared" si="314"/>
        <v>41969.199756944443</v>
      </c>
      <c r="T3370" s="14">
        <f t="shared" si="315"/>
        <v>42005.208333333328</v>
      </c>
      <c r="U3370" s="64">
        <f t="shared" si="316"/>
        <v>36.008576388885558</v>
      </c>
      <c r="V3370" s="13" t="str">
        <f t="shared" si="317"/>
        <v>funded</v>
      </c>
    </row>
    <row r="3371" spans="1:22" ht="48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8314</v>
      </c>
      <c r="R3371" t="s">
        <v>8315</v>
      </c>
      <c r="S3371" s="14">
        <f t="shared" si="314"/>
        <v>42690.041435185187</v>
      </c>
      <c r="T3371" s="14">
        <f t="shared" si="315"/>
        <v>42750.041435185187</v>
      </c>
      <c r="U3371" s="64">
        <f t="shared" si="316"/>
        <v>60</v>
      </c>
      <c r="V3371" s="13" t="str">
        <f t="shared" si="317"/>
        <v>funded</v>
      </c>
    </row>
    <row r="3372" spans="1:22" ht="3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8314</v>
      </c>
      <c r="R3372" t="s">
        <v>8315</v>
      </c>
      <c r="S3372" s="14">
        <f t="shared" si="314"/>
        <v>42690.334317129629</v>
      </c>
      <c r="T3372" s="14">
        <f t="shared" si="315"/>
        <v>42721.333333333328</v>
      </c>
      <c r="U3372" s="64">
        <f t="shared" si="316"/>
        <v>30.999016203699284</v>
      </c>
      <c r="V3372" s="13" t="str">
        <f t="shared" si="317"/>
        <v>funded</v>
      </c>
    </row>
    <row r="3373" spans="1:22" ht="3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8314</v>
      </c>
      <c r="R3373" t="s">
        <v>8315</v>
      </c>
      <c r="S3373" s="14">
        <f t="shared" si="314"/>
        <v>42312.874594907407</v>
      </c>
      <c r="T3373" s="14">
        <f t="shared" si="315"/>
        <v>42340.874594907407</v>
      </c>
      <c r="U3373" s="64">
        <f t="shared" si="316"/>
        <v>28</v>
      </c>
      <c r="V3373" s="13" t="str">
        <f t="shared" si="317"/>
        <v>funded</v>
      </c>
    </row>
    <row r="3374" spans="1:22" ht="48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8314</v>
      </c>
      <c r="R3374" t="s">
        <v>8315</v>
      </c>
      <c r="S3374" s="14">
        <f t="shared" si="314"/>
        <v>41855.548101851848</v>
      </c>
      <c r="T3374" s="14">
        <f t="shared" si="315"/>
        <v>41876.207638888889</v>
      </c>
      <c r="U3374" s="64">
        <f t="shared" si="316"/>
        <v>20.659537037041446</v>
      </c>
      <c r="V3374" s="13" t="str">
        <f t="shared" si="317"/>
        <v>funded</v>
      </c>
    </row>
    <row r="3375" spans="1:22" ht="48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8314</v>
      </c>
      <c r="R3375" t="s">
        <v>8315</v>
      </c>
      <c r="S3375" s="14">
        <f t="shared" si="314"/>
        <v>42179.854629629626</v>
      </c>
      <c r="T3375" s="14">
        <f t="shared" si="315"/>
        <v>42203.666666666672</v>
      </c>
      <c r="U3375" s="64">
        <f t="shared" si="316"/>
        <v>23.812037037045229</v>
      </c>
      <c r="V3375" s="13" t="str">
        <f t="shared" si="317"/>
        <v>funded</v>
      </c>
    </row>
    <row r="3376" spans="1:22" ht="48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8314</v>
      </c>
      <c r="R3376" t="s">
        <v>8315</v>
      </c>
      <c r="S3376" s="14">
        <f t="shared" si="314"/>
        <v>42275.731666666667</v>
      </c>
      <c r="T3376" s="14">
        <f t="shared" si="315"/>
        <v>42305.731666666667</v>
      </c>
      <c r="U3376" s="64">
        <f t="shared" si="316"/>
        <v>30</v>
      </c>
      <c r="V3376" s="13" t="str">
        <f t="shared" si="317"/>
        <v>funded</v>
      </c>
    </row>
    <row r="3377" spans="1:22" ht="48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8314</v>
      </c>
      <c r="R3377" t="s">
        <v>8315</v>
      </c>
      <c r="S3377" s="14">
        <f t="shared" si="314"/>
        <v>41765.610798611109</v>
      </c>
      <c r="T3377" s="14">
        <f t="shared" si="315"/>
        <v>41777.610798611109</v>
      </c>
      <c r="U3377" s="64">
        <f t="shared" si="316"/>
        <v>12</v>
      </c>
      <c r="V3377" s="13" t="str">
        <f t="shared" si="317"/>
        <v>funded</v>
      </c>
    </row>
    <row r="3378" spans="1:22" ht="48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8314</v>
      </c>
      <c r="R3378" t="s">
        <v>8315</v>
      </c>
      <c r="S3378" s="14">
        <f t="shared" si="314"/>
        <v>42059.701319444444</v>
      </c>
      <c r="T3378" s="14">
        <f t="shared" si="315"/>
        <v>42119.659652777773</v>
      </c>
      <c r="U3378" s="64">
        <f t="shared" si="316"/>
        <v>59.958333333328483</v>
      </c>
      <c r="V3378" s="13" t="str">
        <f t="shared" si="317"/>
        <v>funded</v>
      </c>
    </row>
    <row r="3379" spans="1:22" ht="48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8314</v>
      </c>
      <c r="R3379" t="s">
        <v>8315</v>
      </c>
      <c r="S3379" s="14">
        <f t="shared" si="314"/>
        <v>42053.732627314821</v>
      </c>
      <c r="T3379" s="14">
        <f t="shared" si="315"/>
        <v>42083.705555555556</v>
      </c>
      <c r="U3379" s="64">
        <f t="shared" si="316"/>
        <v>29.9729282407352</v>
      </c>
      <c r="V3379" s="13" t="str">
        <f t="shared" si="317"/>
        <v>funded</v>
      </c>
    </row>
    <row r="3380" spans="1:22" ht="48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8314</v>
      </c>
      <c r="R3380" t="s">
        <v>8315</v>
      </c>
      <c r="S3380" s="14">
        <f t="shared" si="314"/>
        <v>41858.355393518519</v>
      </c>
      <c r="T3380" s="14">
        <f t="shared" si="315"/>
        <v>41882.547222222223</v>
      </c>
      <c r="U3380" s="64">
        <f t="shared" si="316"/>
        <v>24.191828703704232</v>
      </c>
      <c r="V3380" s="13" t="str">
        <f t="shared" si="317"/>
        <v>funded</v>
      </c>
    </row>
    <row r="3381" spans="1:22" ht="48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8314</v>
      </c>
      <c r="R3381" t="s">
        <v>8315</v>
      </c>
      <c r="S3381" s="14">
        <f t="shared" si="314"/>
        <v>42225.513888888891</v>
      </c>
      <c r="T3381" s="14">
        <f t="shared" si="315"/>
        <v>42242.958333333328</v>
      </c>
      <c r="U3381" s="64">
        <f t="shared" si="316"/>
        <v>17.444444444437977</v>
      </c>
      <c r="V3381" s="13" t="str">
        <f t="shared" si="317"/>
        <v>funded</v>
      </c>
    </row>
    <row r="3382" spans="1:22" ht="48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8314</v>
      </c>
      <c r="R3382" t="s">
        <v>8315</v>
      </c>
      <c r="S3382" s="14">
        <f t="shared" si="314"/>
        <v>41937.95344907407</v>
      </c>
      <c r="T3382" s="14">
        <f t="shared" si="315"/>
        <v>41972.995115740734</v>
      </c>
      <c r="U3382" s="64">
        <f t="shared" si="316"/>
        <v>35.041666666664241</v>
      </c>
      <c r="V3382" s="13" t="str">
        <f t="shared" si="317"/>
        <v>funded</v>
      </c>
    </row>
    <row r="3383" spans="1:22" ht="48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8314</v>
      </c>
      <c r="R3383" t="s">
        <v>8315</v>
      </c>
      <c r="S3383" s="14">
        <f t="shared" si="314"/>
        <v>42044.184988425928</v>
      </c>
      <c r="T3383" s="14">
        <f t="shared" si="315"/>
        <v>42074.143321759257</v>
      </c>
      <c r="U3383" s="64">
        <f t="shared" si="316"/>
        <v>29.958333333328483</v>
      </c>
      <c r="V3383" s="13" t="str">
        <f t="shared" si="317"/>
        <v>funded</v>
      </c>
    </row>
    <row r="3384" spans="1:22" ht="48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8314</v>
      </c>
      <c r="R3384" t="s">
        <v>8315</v>
      </c>
      <c r="S3384" s="14">
        <f t="shared" si="314"/>
        <v>42559.431203703702</v>
      </c>
      <c r="T3384" s="14">
        <f t="shared" si="315"/>
        <v>42583.957638888889</v>
      </c>
      <c r="U3384" s="64">
        <f t="shared" si="316"/>
        <v>24.526435185187438</v>
      </c>
      <c r="V3384" s="13" t="str">
        <f t="shared" si="317"/>
        <v>funded</v>
      </c>
    </row>
    <row r="3385" spans="1:22" ht="48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8314</v>
      </c>
      <c r="R3385" t="s">
        <v>8315</v>
      </c>
      <c r="S3385" s="14">
        <f t="shared" si="314"/>
        <v>42524.782638888893</v>
      </c>
      <c r="T3385" s="14">
        <f t="shared" si="315"/>
        <v>42544.782638888893</v>
      </c>
      <c r="U3385" s="64">
        <f t="shared" si="316"/>
        <v>20</v>
      </c>
      <c r="V3385" s="13" t="str">
        <f t="shared" si="317"/>
        <v>funded</v>
      </c>
    </row>
    <row r="3386" spans="1:22" ht="48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8314</v>
      </c>
      <c r="R3386" t="s">
        <v>8315</v>
      </c>
      <c r="S3386" s="14">
        <f t="shared" si="314"/>
        <v>42292.087592592594</v>
      </c>
      <c r="T3386" s="14">
        <f t="shared" si="315"/>
        <v>42329.125</v>
      </c>
      <c r="U3386" s="64">
        <f t="shared" si="316"/>
        <v>37.037407407406135</v>
      </c>
      <c r="V3386" s="13" t="str">
        <f t="shared" si="317"/>
        <v>funded</v>
      </c>
    </row>
    <row r="3387" spans="1:22" ht="48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8314</v>
      </c>
      <c r="R3387" t="s">
        <v>8315</v>
      </c>
      <c r="S3387" s="14">
        <f t="shared" si="314"/>
        <v>41953.8675</v>
      </c>
      <c r="T3387" s="14">
        <f t="shared" si="315"/>
        <v>41983.8675</v>
      </c>
      <c r="U3387" s="64">
        <f t="shared" si="316"/>
        <v>30</v>
      </c>
      <c r="V3387" s="13" t="str">
        <f t="shared" si="317"/>
        <v>funded</v>
      </c>
    </row>
    <row r="3388" spans="1:22" ht="48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8314</v>
      </c>
      <c r="R3388" t="s">
        <v>8315</v>
      </c>
      <c r="S3388" s="14">
        <f t="shared" si="314"/>
        <v>41946.644745370373</v>
      </c>
      <c r="T3388" s="14">
        <f t="shared" si="315"/>
        <v>41976.644745370373</v>
      </c>
      <c r="U3388" s="64">
        <f t="shared" si="316"/>
        <v>30</v>
      </c>
      <c r="V3388" s="13" t="str">
        <f t="shared" si="317"/>
        <v>funded</v>
      </c>
    </row>
    <row r="3389" spans="1:22" ht="48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8314</v>
      </c>
      <c r="R3389" t="s">
        <v>8315</v>
      </c>
      <c r="S3389" s="14">
        <f t="shared" si="314"/>
        <v>41947.762592592589</v>
      </c>
      <c r="T3389" s="14">
        <f t="shared" si="315"/>
        <v>41987.762592592597</v>
      </c>
      <c r="U3389" s="64">
        <f t="shared" si="316"/>
        <v>40.000000000007276</v>
      </c>
      <c r="V3389" s="13" t="str">
        <f t="shared" si="317"/>
        <v>funded</v>
      </c>
    </row>
    <row r="3390" spans="1:22" ht="48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8314</v>
      </c>
      <c r="R3390" t="s">
        <v>8315</v>
      </c>
      <c r="S3390" s="14">
        <f t="shared" si="314"/>
        <v>42143.461122685185</v>
      </c>
      <c r="T3390" s="14">
        <f t="shared" si="315"/>
        <v>42173.461122685185</v>
      </c>
      <c r="U3390" s="64">
        <f t="shared" si="316"/>
        <v>30</v>
      </c>
      <c r="V3390" s="13" t="str">
        <f t="shared" si="317"/>
        <v>funded</v>
      </c>
    </row>
    <row r="3391" spans="1:22" ht="48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8314</v>
      </c>
      <c r="R3391" t="s">
        <v>8315</v>
      </c>
      <c r="S3391" s="14">
        <f t="shared" si="314"/>
        <v>42494.563449074078</v>
      </c>
      <c r="T3391" s="14">
        <f t="shared" si="315"/>
        <v>42524.563449074078</v>
      </c>
      <c r="U3391" s="64">
        <f t="shared" si="316"/>
        <v>30</v>
      </c>
      <c r="V3391" s="13" t="str">
        <f t="shared" si="317"/>
        <v>funded</v>
      </c>
    </row>
    <row r="3392" spans="1:22" ht="48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8314</v>
      </c>
      <c r="R3392" t="s">
        <v>8315</v>
      </c>
      <c r="S3392" s="14">
        <f t="shared" si="314"/>
        <v>41815.774826388886</v>
      </c>
      <c r="T3392" s="14">
        <f t="shared" si="315"/>
        <v>41830.774826388886</v>
      </c>
      <c r="U3392" s="64">
        <f t="shared" si="316"/>
        <v>15</v>
      </c>
      <c r="V3392" s="13" t="str">
        <f t="shared" si="317"/>
        <v>funded</v>
      </c>
    </row>
    <row r="3393" spans="1:22" ht="48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8314</v>
      </c>
      <c r="R3393" t="s">
        <v>8315</v>
      </c>
      <c r="S3393" s="14">
        <f t="shared" si="314"/>
        <v>41830.545694444445</v>
      </c>
      <c r="T3393" s="14">
        <f t="shared" si="315"/>
        <v>41859.936111111114</v>
      </c>
      <c r="U3393" s="64">
        <f t="shared" si="316"/>
        <v>29.390416666668898</v>
      </c>
      <c r="V3393" s="13" t="str">
        <f t="shared" si="317"/>
        <v>funded</v>
      </c>
    </row>
    <row r="3394" spans="1:22" ht="48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>
        <f t="shared" si="313"/>
        <v>41.67</v>
      </c>
      <c r="Q3394" s="10" t="s">
        <v>8314</v>
      </c>
      <c r="R3394" t="s">
        <v>8315</v>
      </c>
      <c r="S3394" s="14">
        <f t="shared" si="314"/>
        <v>42446.845543981486</v>
      </c>
      <c r="T3394" s="14">
        <f t="shared" si="315"/>
        <v>42496.845543981486</v>
      </c>
      <c r="U3394" s="64">
        <f t="shared" si="316"/>
        <v>50</v>
      </c>
      <c r="V3394" s="13" t="str">
        <f t="shared" si="317"/>
        <v>funded</v>
      </c>
    </row>
    <row r="3395" spans="1:22" ht="48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>ROUND(E3395/D3395*100,0)</f>
        <v>106</v>
      </c>
      <c r="P3395">
        <f t="shared" ref="P3395:P3458" si="319">IFERROR(ROUND(E3395/L3395,2), 0)</f>
        <v>36.07</v>
      </c>
      <c r="Q3395" s="10" t="s">
        <v>8314</v>
      </c>
      <c r="R3395" t="s">
        <v>8315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 s="64">
        <f t="shared" ref="U3395:V3458" si="322">T3395-S3395</f>
        <v>25.110300925924093</v>
      </c>
      <c r="V3395" s="13" t="str">
        <f t="shared" ref="V3395:V3458" si="323">IF(E3395&gt;=D3395, "funded", "underfunded")</f>
        <v>funded</v>
      </c>
    </row>
    <row r="3396" spans="1:22" ht="48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8314</v>
      </c>
      <c r="R3396" t="s">
        <v>8315</v>
      </c>
      <c r="S3396" s="14">
        <f t="shared" si="320"/>
        <v>41817.59542824074</v>
      </c>
      <c r="T3396" s="14">
        <f t="shared" si="321"/>
        <v>41847.59542824074</v>
      </c>
      <c r="U3396" s="64">
        <f t="shared" si="322"/>
        <v>30</v>
      </c>
      <c r="V3396" s="13" t="str">
        <f t="shared" si="323"/>
        <v>funded</v>
      </c>
    </row>
    <row r="3397" spans="1:22" ht="3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8314</v>
      </c>
      <c r="R3397" t="s">
        <v>8315</v>
      </c>
      <c r="S3397" s="14">
        <f t="shared" si="320"/>
        <v>42140.712314814817</v>
      </c>
      <c r="T3397" s="14">
        <f t="shared" si="321"/>
        <v>42154.756944444445</v>
      </c>
      <c r="U3397" s="64">
        <f t="shared" si="322"/>
        <v>14.044629629628616</v>
      </c>
      <c r="V3397" s="13" t="str">
        <f t="shared" si="323"/>
        <v>funded</v>
      </c>
    </row>
    <row r="3398" spans="1:22" ht="48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8314</v>
      </c>
      <c r="R3398" t="s">
        <v>8315</v>
      </c>
      <c r="S3398" s="14">
        <f t="shared" si="320"/>
        <v>41764.44663194444</v>
      </c>
      <c r="T3398" s="14">
        <f t="shared" si="321"/>
        <v>41791.165972222225</v>
      </c>
      <c r="U3398" s="64">
        <f t="shared" si="322"/>
        <v>26.719340277784795</v>
      </c>
      <c r="V3398" s="13" t="str">
        <f t="shared" si="323"/>
        <v>funded</v>
      </c>
    </row>
    <row r="3399" spans="1:22" ht="3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8314</v>
      </c>
      <c r="R3399" t="s">
        <v>8315</v>
      </c>
      <c r="S3399" s="14">
        <f t="shared" si="320"/>
        <v>42378.478344907402</v>
      </c>
      <c r="T3399" s="14">
        <f t="shared" si="321"/>
        <v>42418.916666666672</v>
      </c>
      <c r="U3399" s="64">
        <f t="shared" si="322"/>
        <v>40.438321759269456</v>
      </c>
      <c r="V3399" s="13" t="str">
        <f t="shared" si="323"/>
        <v>funded</v>
      </c>
    </row>
    <row r="3400" spans="1:22" ht="48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8314</v>
      </c>
      <c r="R3400" t="s">
        <v>8315</v>
      </c>
      <c r="S3400" s="14">
        <f t="shared" si="320"/>
        <v>41941.75203703704</v>
      </c>
      <c r="T3400" s="14">
        <f t="shared" si="321"/>
        <v>41964.708333333328</v>
      </c>
      <c r="U3400" s="64">
        <f t="shared" si="322"/>
        <v>22.956296296288201</v>
      </c>
      <c r="V3400" s="13" t="str">
        <f t="shared" si="323"/>
        <v>funded</v>
      </c>
    </row>
    <row r="3401" spans="1:22" ht="48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8314</v>
      </c>
      <c r="R3401" t="s">
        <v>8315</v>
      </c>
      <c r="S3401" s="14">
        <f t="shared" si="320"/>
        <v>42026.920428240745</v>
      </c>
      <c r="T3401" s="14">
        <f t="shared" si="321"/>
        <v>42056.920428240745</v>
      </c>
      <c r="U3401" s="64">
        <f t="shared" si="322"/>
        <v>30</v>
      </c>
      <c r="V3401" s="13" t="str">
        <f t="shared" si="323"/>
        <v>funded</v>
      </c>
    </row>
    <row r="3402" spans="1:22" ht="48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8314</v>
      </c>
      <c r="R3402" t="s">
        <v>8315</v>
      </c>
      <c r="S3402" s="14">
        <f t="shared" si="320"/>
        <v>41834.953865740739</v>
      </c>
      <c r="T3402" s="14">
        <f t="shared" si="321"/>
        <v>41879.953865740739</v>
      </c>
      <c r="U3402" s="64">
        <f t="shared" si="322"/>
        <v>45</v>
      </c>
      <c r="V3402" s="13" t="str">
        <f t="shared" si="323"/>
        <v>funded</v>
      </c>
    </row>
    <row r="3403" spans="1:22" ht="48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8314</v>
      </c>
      <c r="R3403" t="s">
        <v>8315</v>
      </c>
      <c r="S3403" s="14">
        <f t="shared" si="320"/>
        <v>42193.723912037036</v>
      </c>
      <c r="T3403" s="14">
        <f t="shared" si="321"/>
        <v>42223.723912037036</v>
      </c>
      <c r="U3403" s="64">
        <f t="shared" si="322"/>
        <v>30</v>
      </c>
      <c r="V3403" s="13" t="str">
        <f t="shared" si="323"/>
        <v>funded</v>
      </c>
    </row>
    <row r="3404" spans="1:22" ht="48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8314</v>
      </c>
      <c r="R3404" t="s">
        <v>8315</v>
      </c>
      <c r="S3404" s="14">
        <f t="shared" si="320"/>
        <v>42290.61855324074</v>
      </c>
      <c r="T3404" s="14">
        <f t="shared" si="321"/>
        <v>42320.104861111111</v>
      </c>
      <c r="U3404" s="64">
        <f t="shared" si="322"/>
        <v>29.486307870371093</v>
      </c>
      <c r="V3404" s="13" t="str">
        <f t="shared" si="323"/>
        <v>funded</v>
      </c>
    </row>
    <row r="3405" spans="1:22" ht="48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8314</v>
      </c>
      <c r="R3405" t="s">
        <v>8315</v>
      </c>
      <c r="S3405" s="14">
        <f t="shared" si="320"/>
        <v>42150.462083333332</v>
      </c>
      <c r="T3405" s="14">
        <f t="shared" si="321"/>
        <v>42180.462083333332</v>
      </c>
      <c r="U3405" s="64">
        <f t="shared" si="322"/>
        <v>30</v>
      </c>
      <c r="V3405" s="13" t="str">
        <f t="shared" si="323"/>
        <v>funded</v>
      </c>
    </row>
    <row r="3406" spans="1:22" ht="48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8314</v>
      </c>
      <c r="R3406" t="s">
        <v>8315</v>
      </c>
      <c r="S3406" s="14">
        <f t="shared" si="320"/>
        <v>42152.503495370373</v>
      </c>
      <c r="T3406" s="14">
        <f t="shared" si="321"/>
        <v>42172.503495370373</v>
      </c>
      <c r="U3406" s="64">
        <f t="shared" si="322"/>
        <v>20</v>
      </c>
      <c r="V3406" s="13" t="str">
        <f t="shared" si="323"/>
        <v>funded</v>
      </c>
    </row>
    <row r="3407" spans="1:22" ht="48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8314</v>
      </c>
      <c r="R3407" t="s">
        <v>8315</v>
      </c>
      <c r="S3407" s="14">
        <f t="shared" si="320"/>
        <v>42410.017199074078</v>
      </c>
      <c r="T3407" s="14">
        <f t="shared" si="321"/>
        <v>42430.999305555553</v>
      </c>
      <c r="U3407" s="64">
        <f t="shared" si="322"/>
        <v>20.982106481475057</v>
      </c>
      <c r="V3407" s="13" t="str">
        <f t="shared" si="323"/>
        <v>funded</v>
      </c>
    </row>
    <row r="3408" spans="1:22" ht="3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8314</v>
      </c>
      <c r="R3408" t="s">
        <v>8315</v>
      </c>
      <c r="S3408" s="14">
        <f t="shared" si="320"/>
        <v>41791.492777777778</v>
      </c>
      <c r="T3408" s="14">
        <f t="shared" si="321"/>
        <v>41836.492777777778</v>
      </c>
      <c r="U3408" s="64">
        <f t="shared" si="322"/>
        <v>45</v>
      </c>
      <c r="V3408" s="13" t="str">
        <f t="shared" si="323"/>
        <v>funded</v>
      </c>
    </row>
    <row r="3409" spans="1:22" ht="6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8314</v>
      </c>
      <c r="R3409" t="s">
        <v>8315</v>
      </c>
      <c r="S3409" s="14">
        <f t="shared" si="320"/>
        <v>41796.422326388885</v>
      </c>
      <c r="T3409" s="14">
        <f t="shared" si="321"/>
        <v>41826.422326388885</v>
      </c>
      <c r="U3409" s="64">
        <f t="shared" si="322"/>
        <v>30</v>
      </c>
      <c r="V3409" s="13" t="str">
        <f t="shared" si="323"/>
        <v>funded</v>
      </c>
    </row>
    <row r="3410" spans="1:22" ht="48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8314</v>
      </c>
      <c r="R3410" t="s">
        <v>8315</v>
      </c>
      <c r="S3410" s="14">
        <f t="shared" si="320"/>
        <v>41808.991944444446</v>
      </c>
      <c r="T3410" s="14">
        <f t="shared" si="321"/>
        <v>41838.991944444446</v>
      </c>
      <c r="U3410" s="64">
        <f t="shared" si="322"/>
        <v>30</v>
      </c>
      <c r="V3410" s="13" t="str">
        <f t="shared" si="323"/>
        <v>funded</v>
      </c>
    </row>
    <row r="3411" spans="1:22" ht="48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8314</v>
      </c>
      <c r="R3411" t="s">
        <v>8315</v>
      </c>
      <c r="S3411" s="14">
        <f t="shared" si="320"/>
        <v>42544.814328703709</v>
      </c>
      <c r="T3411" s="14">
        <f t="shared" si="321"/>
        <v>42582.873611111107</v>
      </c>
      <c r="U3411" s="64">
        <f t="shared" si="322"/>
        <v>38.059282407397404</v>
      </c>
      <c r="V3411" s="13" t="str">
        <f t="shared" si="323"/>
        <v>funded</v>
      </c>
    </row>
    <row r="3412" spans="1:22" ht="48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8314</v>
      </c>
      <c r="R3412" t="s">
        <v>8315</v>
      </c>
      <c r="S3412" s="14">
        <f t="shared" si="320"/>
        <v>42500.041550925926</v>
      </c>
      <c r="T3412" s="14">
        <f t="shared" si="321"/>
        <v>42527.291666666672</v>
      </c>
      <c r="U3412" s="64">
        <f t="shared" si="322"/>
        <v>27.250115740745969</v>
      </c>
      <c r="V3412" s="13" t="str">
        <f t="shared" si="323"/>
        <v>funded</v>
      </c>
    </row>
    <row r="3413" spans="1:22" ht="48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8314</v>
      </c>
      <c r="R3413" t="s">
        <v>8315</v>
      </c>
      <c r="S3413" s="14">
        <f t="shared" si="320"/>
        <v>42265.022824074069</v>
      </c>
      <c r="T3413" s="14">
        <f t="shared" si="321"/>
        <v>42285.022824074069</v>
      </c>
      <c r="U3413" s="64">
        <f t="shared" si="322"/>
        <v>20</v>
      </c>
      <c r="V3413" s="13" t="str">
        <f t="shared" si="323"/>
        <v>funded</v>
      </c>
    </row>
    <row r="3414" spans="1:22" ht="48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8314</v>
      </c>
      <c r="R3414" t="s">
        <v>8315</v>
      </c>
      <c r="S3414" s="14">
        <f t="shared" si="320"/>
        <v>41879.959050925929</v>
      </c>
      <c r="T3414" s="14">
        <f t="shared" si="321"/>
        <v>41909.959050925929</v>
      </c>
      <c r="U3414" s="64">
        <f t="shared" si="322"/>
        <v>30</v>
      </c>
      <c r="V3414" s="13" t="str">
        <f t="shared" si="323"/>
        <v>funded</v>
      </c>
    </row>
    <row r="3415" spans="1:22" ht="48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8314</v>
      </c>
      <c r="R3415" t="s">
        <v>8315</v>
      </c>
      <c r="S3415" s="14">
        <f t="shared" si="320"/>
        <v>42053.733078703706</v>
      </c>
      <c r="T3415" s="14">
        <f t="shared" si="321"/>
        <v>42063.207638888889</v>
      </c>
      <c r="U3415" s="64">
        <f t="shared" si="322"/>
        <v>9.4745601851827814</v>
      </c>
      <c r="V3415" s="13" t="str">
        <f t="shared" si="323"/>
        <v>funded</v>
      </c>
    </row>
    <row r="3416" spans="1:22" ht="48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8314</v>
      </c>
      <c r="R3416" t="s">
        <v>8315</v>
      </c>
      <c r="S3416" s="14">
        <f t="shared" si="320"/>
        <v>42675.832465277781</v>
      </c>
      <c r="T3416" s="14">
        <f t="shared" si="321"/>
        <v>42705.332638888889</v>
      </c>
      <c r="U3416" s="64">
        <f t="shared" si="322"/>
        <v>29.500173611108039</v>
      </c>
      <c r="V3416" s="13" t="str">
        <f t="shared" si="323"/>
        <v>funded</v>
      </c>
    </row>
    <row r="3417" spans="1:22" ht="3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8314</v>
      </c>
      <c r="R3417" t="s">
        <v>8315</v>
      </c>
      <c r="S3417" s="14">
        <f t="shared" si="320"/>
        <v>42467.144166666665</v>
      </c>
      <c r="T3417" s="14">
        <f t="shared" si="321"/>
        <v>42477.979166666672</v>
      </c>
      <c r="U3417" s="64">
        <f t="shared" si="322"/>
        <v>10.835000000006403</v>
      </c>
      <c r="V3417" s="13" t="str">
        <f t="shared" si="323"/>
        <v>funded</v>
      </c>
    </row>
    <row r="3418" spans="1:22" ht="48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8314</v>
      </c>
      <c r="R3418" t="s">
        <v>8315</v>
      </c>
      <c r="S3418" s="14">
        <f t="shared" si="320"/>
        <v>42089.412557870368</v>
      </c>
      <c r="T3418" s="14">
        <f t="shared" si="321"/>
        <v>42117.770833333328</v>
      </c>
      <c r="U3418" s="64">
        <f t="shared" si="322"/>
        <v>28.358275462960592</v>
      </c>
      <c r="V3418" s="13" t="str">
        <f t="shared" si="323"/>
        <v>funded</v>
      </c>
    </row>
    <row r="3419" spans="1:22" ht="48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8314</v>
      </c>
      <c r="R3419" t="s">
        <v>8315</v>
      </c>
      <c r="S3419" s="14">
        <f t="shared" si="320"/>
        <v>41894.91375</v>
      </c>
      <c r="T3419" s="14">
        <f t="shared" si="321"/>
        <v>41938.029861111114</v>
      </c>
      <c r="U3419" s="64">
        <f t="shared" si="322"/>
        <v>43.116111111114151</v>
      </c>
      <c r="V3419" s="13" t="str">
        <f t="shared" si="323"/>
        <v>funded</v>
      </c>
    </row>
    <row r="3420" spans="1:22" ht="48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8314</v>
      </c>
      <c r="R3420" t="s">
        <v>8315</v>
      </c>
      <c r="S3420" s="14">
        <f t="shared" si="320"/>
        <v>41752.83457175926</v>
      </c>
      <c r="T3420" s="14">
        <f t="shared" si="321"/>
        <v>41782.83457175926</v>
      </c>
      <c r="U3420" s="64">
        <f t="shared" si="322"/>
        <v>30</v>
      </c>
      <c r="V3420" s="13" t="str">
        <f t="shared" si="323"/>
        <v>funded</v>
      </c>
    </row>
    <row r="3421" spans="1:22" ht="6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8314</v>
      </c>
      <c r="R3421" t="s">
        <v>8315</v>
      </c>
      <c r="S3421" s="14">
        <f t="shared" si="320"/>
        <v>42448.821585648147</v>
      </c>
      <c r="T3421" s="14">
        <f t="shared" si="321"/>
        <v>42466.895833333328</v>
      </c>
      <c r="U3421" s="64">
        <f t="shared" si="322"/>
        <v>18.074247685181035</v>
      </c>
      <c r="V3421" s="13" t="str">
        <f t="shared" si="323"/>
        <v>funded</v>
      </c>
    </row>
    <row r="3422" spans="1:22" ht="48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8314</v>
      </c>
      <c r="R3422" t="s">
        <v>8315</v>
      </c>
      <c r="S3422" s="14">
        <f t="shared" si="320"/>
        <v>42405.090300925927</v>
      </c>
      <c r="T3422" s="14">
        <f t="shared" si="321"/>
        <v>42414</v>
      </c>
      <c r="U3422" s="64">
        <f t="shared" si="322"/>
        <v>8.9096990740727051</v>
      </c>
      <c r="V3422" s="13" t="str">
        <f t="shared" si="323"/>
        <v>funded</v>
      </c>
    </row>
    <row r="3423" spans="1:22" ht="48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8314</v>
      </c>
      <c r="R3423" t="s">
        <v>8315</v>
      </c>
      <c r="S3423" s="14">
        <f t="shared" si="320"/>
        <v>42037.791238425925</v>
      </c>
      <c r="T3423" s="14">
        <f t="shared" si="321"/>
        <v>42067.791238425925</v>
      </c>
      <c r="U3423" s="64">
        <f t="shared" si="322"/>
        <v>30</v>
      </c>
      <c r="V3423" s="13" t="str">
        <f t="shared" si="323"/>
        <v>funded</v>
      </c>
    </row>
    <row r="3424" spans="1:22" ht="48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8314</v>
      </c>
      <c r="R3424" t="s">
        <v>8315</v>
      </c>
      <c r="S3424" s="14">
        <f t="shared" si="320"/>
        <v>42323.562222222223</v>
      </c>
      <c r="T3424" s="14">
        <f t="shared" si="321"/>
        <v>42352</v>
      </c>
      <c r="U3424" s="64">
        <f t="shared" si="322"/>
        <v>28.437777777777228</v>
      </c>
      <c r="V3424" s="13" t="str">
        <f t="shared" si="323"/>
        <v>funded</v>
      </c>
    </row>
    <row r="3425" spans="1:22" ht="48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8314</v>
      </c>
      <c r="R3425" t="s">
        <v>8315</v>
      </c>
      <c r="S3425" s="14">
        <f t="shared" si="320"/>
        <v>42088.911354166667</v>
      </c>
      <c r="T3425" s="14">
        <f t="shared" si="321"/>
        <v>42118.911354166667</v>
      </c>
      <c r="U3425" s="64">
        <f t="shared" si="322"/>
        <v>30</v>
      </c>
      <c r="V3425" s="13" t="str">
        <f t="shared" si="323"/>
        <v>funded</v>
      </c>
    </row>
    <row r="3426" spans="1:22" ht="48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8314</v>
      </c>
      <c r="R3426" t="s">
        <v>8315</v>
      </c>
      <c r="S3426" s="14">
        <f t="shared" si="320"/>
        <v>42018.676898148144</v>
      </c>
      <c r="T3426" s="14">
        <f t="shared" si="321"/>
        <v>42040.290972222225</v>
      </c>
      <c r="U3426" s="64">
        <f t="shared" si="322"/>
        <v>21.614074074081145</v>
      </c>
      <c r="V3426" s="13" t="str">
        <f t="shared" si="323"/>
        <v>funded</v>
      </c>
    </row>
    <row r="3427" spans="1:22" ht="48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8314</v>
      </c>
      <c r="R3427" t="s">
        <v>8315</v>
      </c>
      <c r="S3427" s="14">
        <f t="shared" si="320"/>
        <v>41884.617314814815</v>
      </c>
      <c r="T3427" s="14">
        <f t="shared" si="321"/>
        <v>41916.617314814815</v>
      </c>
      <c r="U3427" s="64">
        <f t="shared" si="322"/>
        <v>32</v>
      </c>
      <c r="V3427" s="13" t="str">
        <f t="shared" si="323"/>
        <v>funded</v>
      </c>
    </row>
    <row r="3428" spans="1:22" ht="48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8314</v>
      </c>
      <c r="R3428" t="s">
        <v>8315</v>
      </c>
      <c r="S3428" s="14">
        <f t="shared" si="320"/>
        <v>41884.056747685187</v>
      </c>
      <c r="T3428" s="14">
        <f t="shared" si="321"/>
        <v>41903.083333333336</v>
      </c>
      <c r="U3428" s="64">
        <f t="shared" si="322"/>
        <v>19.026585648149194</v>
      </c>
      <c r="V3428" s="13" t="str">
        <f t="shared" si="323"/>
        <v>funded</v>
      </c>
    </row>
    <row r="3429" spans="1:22" ht="48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8314</v>
      </c>
      <c r="R3429" t="s">
        <v>8315</v>
      </c>
      <c r="S3429" s="14">
        <f t="shared" si="320"/>
        <v>41792.645277777774</v>
      </c>
      <c r="T3429" s="14">
        <f t="shared" si="321"/>
        <v>41822.645277777774</v>
      </c>
      <c r="U3429" s="64">
        <f t="shared" si="322"/>
        <v>30</v>
      </c>
      <c r="V3429" s="13" t="str">
        <f t="shared" si="323"/>
        <v>funded</v>
      </c>
    </row>
    <row r="3430" spans="1:22" ht="48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8314</v>
      </c>
      <c r="R3430" t="s">
        <v>8315</v>
      </c>
      <c r="S3430" s="14">
        <f t="shared" si="320"/>
        <v>42038.720451388886</v>
      </c>
      <c r="T3430" s="14">
        <f t="shared" si="321"/>
        <v>42063.708333333328</v>
      </c>
      <c r="U3430" s="64">
        <f t="shared" si="322"/>
        <v>24.987881944442051</v>
      </c>
      <c r="V3430" s="13" t="str">
        <f t="shared" si="323"/>
        <v>funded</v>
      </c>
    </row>
    <row r="3431" spans="1:22" ht="48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8314</v>
      </c>
      <c r="R3431" t="s">
        <v>8315</v>
      </c>
      <c r="S3431" s="14">
        <f t="shared" si="320"/>
        <v>42662.021539351852</v>
      </c>
      <c r="T3431" s="14">
        <f t="shared" si="321"/>
        <v>42676.021539351852</v>
      </c>
      <c r="U3431" s="64">
        <f t="shared" si="322"/>
        <v>14</v>
      </c>
      <c r="V3431" s="13" t="str">
        <f t="shared" si="323"/>
        <v>funded</v>
      </c>
    </row>
    <row r="3432" spans="1:22" ht="48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8314</v>
      </c>
      <c r="R3432" t="s">
        <v>8315</v>
      </c>
      <c r="S3432" s="14">
        <f t="shared" si="320"/>
        <v>41820.945613425924</v>
      </c>
      <c r="T3432" s="14">
        <f t="shared" si="321"/>
        <v>41850.945613425924</v>
      </c>
      <c r="U3432" s="64">
        <f t="shared" si="322"/>
        <v>30</v>
      </c>
      <c r="V3432" s="13" t="str">
        <f t="shared" si="323"/>
        <v>funded</v>
      </c>
    </row>
    <row r="3433" spans="1:22" ht="48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8314</v>
      </c>
      <c r="R3433" t="s">
        <v>8315</v>
      </c>
      <c r="S3433" s="14">
        <f t="shared" si="320"/>
        <v>41839.730937500004</v>
      </c>
      <c r="T3433" s="14">
        <f t="shared" si="321"/>
        <v>41869.730937500004</v>
      </c>
      <c r="U3433" s="64">
        <f t="shared" si="322"/>
        <v>30</v>
      </c>
      <c r="V3433" s="13" t="str">
        <f t="shared" si="323"/>
        <v>funded</v>
      </c>
    </row>
    <row r="3434" spans="1:22" ht="48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8314</v>
      </c>
      <c r="R3434" t="s">
        <v>8315</v>
      </c>
      <c r="S3434" s="14">
        <f t="shared" si="320"/>
        <v>42380.581180555557</v>
      </c>
      <c r="T3434" s="14">
        <f t="shared" si="321"/>
        <v>42405.916666666672</v>
      </c>
      <c r="U3434" s="64">
        <f t="shared" si="322"/>
        <v>25.335486111114733</v>
      </c>
      <c r="V3434" s="13" t="str">
        <f t="shared" si="323"/>
        <v>funded</v>
      </c>
    </row>
    <row r="3435" spans="1:22" ht="48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8314</v>
      </c>
      <c r="R3435" t="s">
        <v>8315</v>
      </c>
      <c r="S3435" s="14">
        <f t="shared" si="320"/>
        <v>41776.063136574077</v>
      </c>
      <c r="T3435" s="14">
        <f t="shared" si="321"/>
        <v>41807.125</v>
      </c>
      <c r="U3435" s="64">
        <f t="shared" si="322"/>
        <v>31.061863425922638</v>
      </c>
      <c r="V3435" s="13" t="str">
        <f t="shared" si="323"/>
        <v>funded</v>
      </c>
    </row>
    <row r="3436" spans="1:22" ht="48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8314</v>
      </c>
      <c r="R3436" t="s">
        <v>8315</v>
      </c>
      <c r="S3436" s="14">
        <f t="shared" si="320"/>
        <v>41800.380428240744</v>
      </c>
      <c r="T3436" s="14">
        <f t="shared" si="321"/>
        <v>41830.380428240744</v>
      </c>
      <c r="U3436" s="64">
        <f t="shared" si="322"/>
        <v>30</v>
      </c>
      <c r="V3436" s="13" t="str">
        <f t="shared" si="323"/>
        <v>funded</v>
      </c>
    </row>
    <row r="3437" spans="1:22" ht="48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8314</v>
      </c>
      <c r="R3437" t="s">
        <v>8315</v>
      </c>
      <c r="S3437" s="14">
        <f t="shared" si="320"/>
        <v>42572.61681712963</v>
      </c>
      <c r="T3437" s="14">
        <f t="shared" si="321"/>
        <v>42589.125</v>
      </c>
      <c r="U3437" s="64">
        <f t="shared" si="322"/>
        <v>16.508182870369637</v>
      </c>
      <c r="V3437" s="13" t="str">
        <f t="shared" si="323"/>
        <v>funded</v>
      </c>
    </row>
    <row r="3438" spans="1:22" ht="48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8314</v>
      </c>
      <c r="R3438" t="s">
        <v>8315</v>
      </c>
      <c r="S3438" s="14">
        <f t="shared" si="320"/>
        <v>41851.541585648149</v>
      </c>
      <c r="T3438" s="14">
        <f t="shared" si="321"/>
        <v>41872.686111111114</v>
      </c>
      <c r="U3438" s="64">
        <f t="shared" si="322"/>
        <v>21.144525462965248</v>
      </c>
      <c r="V3438" s="13" t="str">
        <f t="shared" si="323"/>
        <v>funded</v>
      </c>
    </row>
    <row r="3439" spans="1:22" ht="48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8314</v>
      </c>
      <c r="R3439" t="s">
        <v>8315</v>
      </c>
      <c r="S3439" s="14">
        <f t="shared" si="320"/>
        <v>42205.710879629631</v>
      </c>
      <c r="T3439" s="14">
        <f t="shared" si="321"/>
        <v>42235.710879629631</v>
      </c>
      <c r="U3439" s="64">
        <f t="shared" si="322"/>
        <v>30</v>
      </c>
      <c r="V3439" s="13" t="str">
        <f t="shared" si="323"/>
        <v>funded</v>
      </c>
    </row>
    <row r="3440" spans="1:22" ht="48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8314</v>
      </c>
      <c r="R3440" t="s">
        <v>8315</v>
      </c>
      <c r="S3440" s="14">
        <f t="shared" si="320"/>
        <v>42100.927858796291</v>
      </c>
      <c r="T3440" s="14">
        <f t="shared" si="321"/>
        <v>42126.875</v>
      </c>
      <c r="U3440" s="64">
        <f t="shared" si="322"/>
        <v>25.94714120370918</v>
      </c>
      <c r="V3440" s="13" t="str">
        <f t="shared" si="323"/>
        <v>funded</v>
      </c>
    </row>
    <row r="3441" spans="1:22" ht="3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8314</v>
      </c>
      <c r="R3441" t="s">
        <v>8315</v>
      </c>
      <c r="S3441" s="14">
        <f t="shared" si="320"/>
        <v>42374.911226851851</v>
      </c>
      <c r="T3441" s="14">
        <f t="shared" si="321"/>
        <v>42388.207638888889</v>
      </c>
      <c r="U3441" s="64">
        <f t="shared" si="322"/>
        <v>13.296412037037953</v>
      </c>
      <c r="V3441" s="13" t="str">
        <f t="shared" si="323"/>
        <v>funded</v>
      </c>
    </row>
    <row r="3442" spans="1:22" ht="48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8314</v>
      </c>
      <c r="R3442" t="s">
        <v>8315</v>
      </c>
      <c r="S3442" s="14">
        <f t="shared" si="320"/>
        <v>41809.12300925926</v>
      </c>
      <c r="T3442" s="14">
        <f t="shared" si="321"/>
        <v>41831.677083333336</v>
      </c>
      <c r="U3442" s="64">
        <f t="shared" si="322"/>
        <v>22.554074074076198</v>
      </c>
      <c r="V3442" s="13" t="str">
        <f t="shared" si="323"/>
        <v>funded</v>
      </c>
    </row>
    <row r="3443" spans="1:22" ht="48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8314</v>
      </c>
      <c r="R3443" t="s">
        <v>8315</v>
      </c>
      <c r="S3443" s="14">
        <f t="shared" si="320"/>
        <v>42294.429641203707</v>
      </c>
      <c r="T3443" s="14">
        <f t="shared" si="321"/>
        <v>42321.845138888893</v>
      </c>
      <c r="U3443" s="64">
        <f t="shared" si="322"/>
        <v>27.415497685185983</v>
      </c>
      <c r="V3443" s="13" t="str">
        <f t="shared" si="323"/>
        <v>funded</v>
      </c>
    </row>
    <row r="3444" spans="1:22" ht="48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8314</v>
      </c>
      <c r="R3444" t="s">
        <v>8315</v>
      </c>
      <c r="S3444" s="14">
        <f t="shared" si="320"/>
        <v>42124.841111111105</v>
      </c>
      <c r="T3444" s="14">
        <f t="shared" si="321"/>
        <v>42154.841111111105</v>
      </c>
      <c r="U3444" s="64">
        <f t="shared" si="322"/>
        <v>30</v>
      </c>
      <c r="V3444" s="13" t="str">
        <f t="shared" si="323"/>
        <v>funded</v>
      </c>
    </row>
    <row r="3445" spans="1:22" ht="48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8314</v>
      </c>
      <c r="R3445" t="s">
        <v>8315</v>
      </c>
      <c r="S3445" s="14">
        <f t="shared" si="320"/>
        <v>41861.524837962963</v>
      </c>
      <c r="T3445" s="14">
        <f t="shared" si="321"/>
        <v>41891.524837962963</v>
      </c>
      <c r="U3445" s="64">
        <f t="shared" si="322"/>
        <v>30</v>
      </c>
      <c r="V3445" s="13" t="str">
        <f t="shared" si="323"/>
        <v>funded</v>
      </c>
    </row>
    <row r="3446" spans="1:22" ht="48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8314</v>
      </c>
      <c r="R3446" t="s">
        <v>8315</v>
      </c>
      <c r="S3446" s="14">
        <f t="shared" si="320"/>
        <v>42521.291504629626</v>
      </c>
      <c r="T3446" s="14">
        <f t="shared" si="321"/>
        <v>42529.582638888889</v>
      </c>
      <c r="U3446" s="64">
        <f t="shared" si="322"/>
        <v>8.2911342592633446</v>
      </c>
      <c r="V3446" s="13" t="str">
        <f t="shared" si="323"/>
        <v>funded</v>
      </c>
    </row>
    <row r="3447" spans="1:22" ht="48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8314</v>
      </c>
      <c r="R3447" t="s">
        <v>8315</v>
      </c>
      <c r="S3447" s="14">
        <f t="shared" si="320"/>
        <v>42272.530509259261</v>
      </c>
      <c r="T3447" s="14">
        <f t="shared" si="321"/>
        <v>42300.530509259261</v>
      </c>
      <c r="U3447" s="64">
        <f t="shared" si="322"/>
        <v>28</v>
      </c>
      <c r="V3447" s="13" t="str">
        <f t="shared" si="323"/>
        <v>funded</v>
      </c>
    </row>
    <row r="3448" spans="1:22" ht="48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8314</v>
      </c>
      <c r="R3448" t="s">
        <v>8315</v>
      </c>
      <c r="S3448" s="14">
        <f t="shared" si="320"/>
        <v>42016.832465277781</v>
      </c>
      <c r="T3448" s="14">
        <f t="shared" si="321"/>
        <v>42040.513888888891</v>
      </c>
      <c r="U3448" s="64">
        <f t="shared" si="322"/>
        <v>23.681423611109494</v>
      </c>
      <c r="V3448" s="13" t="str">
        <f t="shared" si="323"/>
        <v>funded</v>
      </c>
    </row>
    <row r="3449" spans="1:22" ht="3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8314</v>
      </c>
      <c r="R3449" t="s">
        <v>8315</v>
      </c>
      <c r="S3449" s="14">
        <f t="shared" si="320"/>
        <v>42402.889027777783</v>
      </c>
      <c r="T3449" s="14">
        <f t="shared" si="321"/>
        <v>42447.847361111111</v>
      </c>
      <c r="U3449" s="64">
        <f t="shared" si="322"/>
        <v>44.958333333328483</v>
      </c>
      <c r="V3449" s="13" t="str">
        <f t="shared" si="323"/>
        <v>funded</v>
      </c>
    </row>
    <row r="3450" spans="1:22" ht="48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8314</v>
      </c>
      <c r="R3450" t="s">
        <v>8315</v>
      </c>
      <c r="S3450" s="14">
        <f t="shared" si="320"/>
        <v>41960.119085648148</v>
      </c>
      <c r="T3450" s="14">
        <f t="shared" si="321"/>
        <v>41990.119085648148</v>
      </c>
      <c r="U3450" s="64">
        <f t="shared" si="322"/>
        <v>30</v>
      </c>
      <c r="V3450" s="13" t="str">
        <f t="shared" si="323"/>
        <v>funded</v>
      </c>
    </row>
    <row r="3451" spans="1:22" ht="48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8314</v>
      </c>
      <c r="R3451" t="s">
        <v>8315</v>
      </c>
      <c r="S3451" s="14">
        <f t="shared" si="320"/>
        <v>42532.052523148144</v>
      </c>
      <c r="T3451" s="14">
        <f t="shared" si="321"/>
        <v>42560.166666666672</v>
      </c>
      <c r="U3451" s="64">
        <f t="shared" si="322"/>
        <v>28.114143518527271</v>
      </c>
      <c r="V3451" s="13" t="str">
        <f t="shared" si="323"/>
        <v>funded</v>
      </c>
    </row>
    <row r="3452" spans="1:22" ht="48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8314</v>
      </c>
      <c r="R3452" t="s">
        <v>8315</v>
      </c>
      <c r="S3452" s="14">
        <f t="shared" si="320"/>
        <v>42036.704525462963</v>
      </c>
      <c r="T3452" s="14">
        <f t="shared" si="321"/>
        <v>42096.662858796291</v>
      </c>
      <c r="U3452" s="64">
        <f t="shared" si="322"/>
        <v>59.958333333328483</v>
      </c>
      <c r="V3452" s="13" t="str">
        <f t="shared" si="323"/>
        <v>funded</v>
      </c>
    </row>
    <row r="3453" spans="1:22" ht="48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8314</v>
      </c>
      <c r="R3453" t="s">
        <v>8315</v>
      </c>
      <c r="S3453" s="14">
        <f t="shared" si="320"/>
        <v>42088.723692129628</v>
      </c>
      <c r="T3453" s="14">
        <f t="shared" si="321"/>
        <v>42115.723692129628</v>
      </c>
      <c r="U3453" s="64">
        <f t="shared" si="322"/>
        <v>27</v>
      </c>
      <c r="V3453" s="13" t="str">
        <f t="shared" si="323"/>
        <v>funded</v>
      </c>
    </row>
    <row r="3454" spans="1:22" ht="48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8314</v>
      </c>
      <c r="R3454" t="s">
        <v>8315</v>
      </c>
      <c r="S3454" s="14">
        <f t="shared" si="320"/>
        <v>41820.639189814814</v>
      </c>
      <c r="T3454" s="14">
        <f t="shared" si="321"/>
        <v>41843.165972222225</v>
      </c>
      <c r="U3454" s="64">
        <f t="shared" si="322"/>
        <v>22.526782407410792</v>
      </c>
      <c r="V3454" s="13" t="str">
        <f t="shared" si="323"/>
        <v>funded</v>
      </c>
    </row>
    <row r="3455" spans="1:22" ht="48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8314</v>
      </c>
      <c r="R3455" t="s">
        <v>8315</v>
      </c>
      <c r="S3455" s="14">
        <f t="shared" si="320"/>
        <v>42535.97865740741</v>
      </c>
      <c r="T3455" s="14">
        <f t="shared" si="321"/>
        <v>42595.97865740741</v>
      </c>
      <c r="U3455" s="64">
        <f t="shared" si="322"/>
        <v>60</v>
      </c>
      <c r="V3455" s="13" t="str">
        <f t="shared" si="323"/>
        <v>funded</v>
      </c>
    </row>
    <row r="3456" spans="1:22" ht="48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8314</v>
      </c>
      <c r="R3456" t="s">
        <v>8315</v>
      </c>
      <c r="S3456" s="14">
        <f t="shared" si="320"/>
        <v>41821.698599537034</v>
      </c>
      <c r="T3456" s="14">
        <f t="shared" si="321"/>
        <v>41851.698599537034</v>
      </c>
      <c r="U3456" s="64">
        <f t="shared" si="322"/>
        <v>30</v>
      </c>
      <c r="V3456" s="13" t="str">
        <f t="shared" si="323"/>
        <v>funded</v>
      </c>
    </row>
    <row r="3457" spans="1:22" ht="48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8314</v>
      </c>
      <c r="R3457" t="s">
        <v>8315</v>
      </c>
      <c r="S3457" s="14">
        <f t="shared" si="320"/>
        <v>42626.7503125</v>
      </c>
      <c r="T3457" s="14">
        <f t="shared" si="321"/>
        <v>42656.7503125</v>
      </c>
      <c r="U3457" s="64">
        <f t="shared" si="322"/>
        <v>30</v>
      </c>
      <c r="V3457" s="13" t="str">
        <f t="shared" si="323"/>
        <v>funded</v>
      </c>
    </row>
    <row r="3458" spans="1:22" ht="48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</v>
      </c>
      <c r="P3458">
        <f t="shared" si="319"/>
        <v>358.69</v>
      </c>
      <c r="Q3458" s="10" t="s">
        <v>8314</v>
      </c>
      <c r="R3458" t="s">
        <v>8315</v>
      </c>
      <c r="S3458" s="14">
        <f t="shared" si="320"/>
        <v>41821.205636574072</v>
      </c>
      <c r="T3458" s="14">
        <f t="shared" si="321"/>
        <v>41852.290972222225</v>
      </c>
      <c r="U3458" s="64">
        <f t="shared" si="322"/>
        <v>31.085335648152977</v>
      </c>
      <c r="V3458" s="13" t="str">
        <f t="shared" si="323"/>
        <v>funded</v>
      </c>
    </row>
    <row r="3459" spans="1:22" ht="3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>ROUND(E3459/D3459*100,0)</f>
        <v>140</v>
      </c>
      <c r="P3459">
        <f t="shared" ref="P3459:P3522" si="325">IFERROR(ROUND(E3459/L3459,2), 0)</f>
        <v>50.98</v>
      </c>
      <c r="Q3459" s="10" t="s">
        <v>8314</v>
      </c>
      <c r="R3459" t="s">
        <v>8315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 s="64">
        <f t="shared" ref="U3459:V3522" si="328">T3459-S3459</f>
        <v>30.542627314811398</v>
      </c>
      <c r="V3459" s="13" t="str">
        <f t="shared" ref="V3459:V3522" si="329">IF(E3459&gt;=D3459, "funded", "underfunded")</f>
        <v>funded</v>
      </c>
    </row>
    <row r="3460" spans="1:22" ht="48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8314</v>
      </c>
      <c r="R3460" t="s">
        <v>8315</v>
      </c>
      <c r="S3460" s="14">
        <f t="shared" si="326"/>
        <v>42011.202581018515</v>
      </c>
      <c r="T3460" s="14">
        <f t="shared" si="327"/>
        <v>42038.185416666667</v>
      </c>
      <c r="U3460" s="64">
        <f t="shared" si="328"/>
        <v>26.982835648152104</v>
      </c>
      <c r="V3460" s="13" t="str">
        <f t="shared" si="329"/>
        <v>funded</v>
      </c>
    </row>
    <row r="3461" spans="1:22" ht="48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8314</v>
      </c>
      <c r="R3461" t="s">
        <v>8315</v>
      </c>
      <c r="S3461" s="14">
        <f t="shared" si="326"/>
        <v>42480.479861111111</v>
      </c>
      <c r="T3461" s="14">
        <f t="shared" si="327"/>
        <v>42510.479861111111</v>
      </c>
      <c r="U3461" s="64">
        <f t="shared" si="328"/>
        <v>30</v>
      </c>
      <c r="V3461" s="13" t="str">
        <f t="shared" si="329"/>
        <v>funded</v>
      </c>
    </row>
    <row r="3462" spans="1:22" ht="48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8314</v>
      </c>
      <c r="R3462" t="s">
        <v>8315</v>
      </c>
      <c r="S3462" s="14">
        <f t="shared" si="326"/>
        <v>41852.527222222219</v>
      </c>
      <c r="T3462" s="14">
        <f t="shared" si="327"/>
        <v>41866.527222222219</v>
      </c>
      <c r="U3462" s="64">
        <f t="shared" si="328"/>
        <v>14</v>
      </c>
      <c r="V3462" s="13" t="str">
        <f t="shared" si="329"/>
        <v>funded</v>
      </c>
    </row>
    <row r="3463" spans="1:22" ht="48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8314</v>
      </c>
      <c r="R3463" t="s">
        <v>8315</v>
      </c>
      <c r="S3463" s="14">
        <f t="shared" si="326"/>
        <v>42643.632858796293</v>
      </c>
      <c r="T3463" s="14">
        <f t="shared" si="327"/>
        <v>42672.125</v>
      </c>
      <c r="U3463" s="64">
        <f t="shared" si="328"/>
        <v>28.492141203707433</v>
      </c>
      <c r="V3463" s="13" t="str">
        <f t="shared" si="329"/>
        <v>funded</v>
      </c>
    </row>
    <row r="3464" spans="1:22" ht="48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8314</v>
      </c>
      <c r="R3464" t="s">
        <v>8315</v>
      </c>
      <c r="S3464" s="14">
        <f t="shared" si="326"/>
        <v>42179.898472222223</v>
      </c>
      <c r="T3464" s="14">
        <f t="shared" si="327"/>
        <v>42195.75</v>
      </c>
      <c r="U3464" s="64">
        <f t="shared" si="328"/>
        <v>15.851527777776937</v>
      </c>
      <c r="V3464" s="13" t="str">
        <f t="shared" si="329"/>
        <v>funded</v>
      </c>
    </row>
    <row r="3465" spans="1:22" ht="48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8314</v>
      </c>
      <c r="R3465" t="s">
        <v>8315</v>
      </c>
      <c r="S3465" s="14">
        <f t="shared" si="326"/>
        <v>42612.918807870374</v>
      </c>
      <c r="T3465" s="14">
        <f t="shared" si="327"/>
        <v>42654.165972222225</v>
      </c>
      <c r="U3465" s="64">
        <f t="shared" si="328"/>
        <v>41.247164351851097</v>
      </c>
      <c r="V3465" s="13" t="str">
        <f t="shared" si="329"/>
        <v>funded</v>
      </c>
    </row>
    <row r="3466" spans="1:22" ht="48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8314</v>
      </c>
      <c r="R3466" t="s">
        <v>8315</v>
      </c>
      <c r="S3466" s="14">
        <f t="shared" si="326"/>
        <v>42575.130057870367</v>
      </c>
      <c r="T3466" s="14">
        <f t="shared" si="327"/>
        <v>42605.130057870367</v>
      </c>
      <c r="U3466" s="64">
        <f t="shared" si="328"/>
        <v>30</v>
      </c>
      <c r="V3466" s="13" t="str">
        <f t="shared" si="329"/>
        <v>funded</v>
      </c>
    </row>
    <row r="3467" spans="1:22" ht="48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8314</v>
      </c>
      <c r="R3467" t="s">
        <v>8315</v>
      </c>
      <c r="S3467" s="14">
        <f t="shared" si="326"/>
        <v>42200.625833333332</v>
      </c>
      <c r="T3467" s="14">
        <f t="shared" si="327"/>
        <v>42225.666666666672</v>
      </c>
      <c r="U3467" s="64">
        <f t="shared" si="328"/>
        <v>25.040833333339833</v>
      </c>
      <c r="V3467" s="13" t="str">
        <f t="shared" si="329"/>
        <v>funded</v>
      </c>
    </row>
    <row r="3468" spans="1:22" ht="3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8314</v>
      </c>
      <c r="R3468" t="s">
        <v>8315</v>
      </c>
      <c r="S3468" s="14">
        <f t="shared" si="326"/>
        <v>42420.019097222219</v>
      </c>
      <c r="T3468" s="14">
        <f t="shared" si="327"/>
        <v>42479.977430555555</v>
      </c>
      <c r="U3468" s="64">
        <f t="shared" si="328"/>
        <v>59.958333333335759</v>
      </c>
      <c r="V3468" s="13" t="str">
        <f t="shared" si="329"/>
        <v>funded</v>
      </c>
    </row>
    <row r="3469" spans="1:22" ht="16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8314</v>
      </c>
      <c r="R3469" t="s">
        <v>8315</v>
      </c>
      <c r="S3469" s="14">
        <f t="shared" si="326"/>
        <v>42053.671666666662</v>
      </c>
      <c r="T3469" s="14">
        <f t="shared" si="327"/>
        <v>42083.630000000005</v>
      </c>
      <c r="U3469" s="64">
        <f t="shared" si="328"/>
        <v>29.958333333343035</v>
      </c>
      <c r="V3469" s="13" t="str">
        <f t="shared" si="329"/>
        <v>funded</v>
      </c>
    </row>
    <row r="3470" spans="1:22" ht="48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8314</v>
      </c>
      <c r="R3470" t="s">
        <v>8315</v>
      </c>
      <c r="S3470" s="14">
        <f t="shared" si="326"/>
        <v>42605.765381944439</v>
      </c>
      <c r="T3470" s="14">
        <f t="shared" si="327"/>
        <v>42634.125</v>
      </c>
      <c r="U3470" s="64">
        <f t="shared" si="328"/>
        <v>28.359618055561441</v>
      </c>
      <c r="V3470" s="13" t="str">
        <f t="shared" si="329"/>
        <v>funded</v>
      </c>
    </row>
    <row r="3471" spans="1:22" ht="48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8314</v>
      </c>
      <c r="R3471" t="s">
        <v>8315</v>
      </c>
      <c r="S3471" s="14">
        <f t="shared" si="326"/>
        <v>42458.641724537039</v>
      </c>
      <c r="T3471" s="14">
        <f t="shared" si="327"/>
        <v>42488.641724537039</v>
      </c>
      <c r="U3471" s="64">
        <f t="shared" si="328"/>
        <v>30</v>
      </c>
      <c r="V3471" s="13" t="str">
        <f t="shared" si="329"/>
        <v>funded</v>
      </c>
    </row>
    <row r="3472" spans="1:22" ht="3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8314</v>
      </c>
      <c r="R3472" t="s">
        <v>8315</v>
      </c>
      <c r="S3472" s="14">
        <f t="shared" si="326"/>
        <v>42529.022013888884</v>
      </c>
      <c r="T3472" s="14">
        <f t="shared" si="327"/>
        <v>42566.901388888888</v>
      </c>
      <c r="U3472" s="64">
        <f t="shared" si="328"/>
        <v>37.879375000004075</v>
      </c>
      <c r="V3472" s="13" t="str">
        <f t="shared" si="329"/>
        <v>funded</v>
      </c>
    </row>
    <row r="3473" spans="1:22" ht="48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8314</v>
      </c>
      <c r="R3473" t="s">
        <v>8315</v>
      </c>
      <c r="S3473" s="14">
        <f t="shared" si="326"/>
        <v>41841.820486111108</v>
      </c>
      <c r="T3473" s="14">
        <f t="shared" si="327"/>
        <v>41882.833333333336</v>
      </c>
      <c r="U3473" s="64">
        <f t="shared" si="328"/>
        <v>41.01284722222772</v>
      </c>
      <c r="V3473" s="13" t="str">
        <f t="shared" si="329"/>
        <v>funded</v>
      </c>
    </row>
    <row r="3474" spans="1:22" ht="48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8314</v>
      </c>
      <c r="R3474" t="s">
        <v>8315</v>
      </c>
      <c r="S3474" s="14">
        <f t="shared" si="326"/>
        <v>41928.170497685183</v>
      </c>
      <c r="T3474" s="14">
        <f t="shared" si="327"/>
        <v>41949.249305555553</v>
      </c>
      <c r="U3474" s="64">
        <f t="shared" si="328"/>
        <v>21.078807870369928</v>
      </c>
      <c r="V3474" s="13" t="str">
        <f t="shared" si="329"/>
        <v>funded</v>
      </c>
    </row>
    <row r="3475" spans="1:22" ht="48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8314</v>
      </c>
      <c r="R3475" t="s">
        <v>8315</v>
      </c>
      <c r="S3475" s="14">
        <f t="shared" si="326"/>
        <v>42062.834444444445</v>
      </c>
      <c r="T3475" s="14">
        <f t="shared" si="327"/>
        <v>42083.852083333331</v>
      </c>
      <c r="U3475" s="64">
        <f t="shared" si="328"/>
        <v>21.017638888886722</v>
      </c>
      <c r="V3475" s="13" t="str">
        <f t="shared" si="329"/>
        <v>funded</v>
      </c>
    </row>
    <row r="3476" spans="1:22" ht="48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8314</v>
      </c>
      <c r="R3476" t="s">
        <v>8315</v>
      </c>
      <c r="S3476" s="14">
        <f t="shared" si="326"/>
        <v>42541.501516203702</v>
      </c>
      <c r="T3476" s="14">
        <f t="shared" si="327"/>
        <v>42571.501516203702</v>
      </c>
      <c r="U3476" s="64">
        <f t="shared" si="328"/>
        <v>30</v>
      </c>
      <c r="V3476" s="13" t="str">
        <f t="shared" si="329"/>
        <v>funded</v>
      </c>
    </row>
    <row r="3477" spans="1:22" ht="48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8314</v>
      </c>
      <c r="R3477" t="s">
        <v>8315</v>
      </c>
      <c r="S3477" s="14">
        <f t="shared" si="326"/>
        <v>41918.880833333329</v>
      </c>
      <c r="T3477" s="14">
        <f t="shared" si="327"/>
        <v>41946</v>
      </c>
      <c r="U3477" s="64">
        <f t="shared" si="328"/>
        <v>27.119166666670935</v>
      </c>
      <c r="V3477" s="13" t="str">
        <f t="shared" si="329"/>
        <v>funded</v>
      </c>
    </row>
    <row r="3478" spans="1:22" ht="48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8314</v>
      </c>
      <c r="R3478" t="s">
        <v>8315</v>
      </c>
      <c r="S3478" s="14">
        <f t="shared" si="326"/>
        <v>41921.279976851853</v>
      </c>
      <c r="T3478" s="14">
        <f t="shared" si="327"/>
        <v>41939.125</v>
      </c>
      <c r="U3478" s="64">
        <f t="shared" si="328"/>
        <v>17.845023148147448</v>
      </c>
      <c r="V3478" s="13" t="str">
        <f t="shared" si="329"/>
        <v>funded</v>
      </c>
    </row>
    <row r="3479" spans="1:22" ht="48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8314</v>
      </c>
      <c r="R3479" t="s">
        <v>8315</v>
      </c>
      <c r="S3479" s="14">
        <f t="shared" si="326"/>
        <v>42128.736608796295</v>
      </c>
      <c r="T3479" s="14">
        <f t="shared" si="327"/>
        <v>42141.125</v>
      </c>
      <c r="U3479" s="64">
        <f t="shared" si="328"/>
        <v>12.388391203705396</v>
      </c>
      <c r="V3479" s="13" t="str">
        <f t="shared" si="329"/>
        <v>funded</v>
      </c>
    </row>
    <row r="3480" spans="1:22" ht="48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8314</v>
      </c>
      <c r="R3480" t="s">
        <v>8315</v>
      </c>
      <c r="S3480" s="14">
        <f t="shared" si="326"/>
        <v>42053.916921296302</v>
      </c>
      <c r="T3480" s="14">
        <f t="shared" si="327"/>
        <v>42079.875</v>
      </c>
      <c r="U3480" s="64">
        <f t="shared" si="328"/>
        <v>25.958078703697538</v>
      </c>
      <c r="V3480" s="13" t="str">
        <f t="shared" si="329"/>
        <v>funded</v>
      </c>
    </row>
    <row r="3481" spans="1:22" ht="48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8314</v>
      </c>
      <c r="R3481" t="s">
        <v>8315</v>
      </c>
      <c r="S3481" s="14">
        <f t="shared" si="326"/>
        <v>41781.855092592588</v>
      </c>
      <c r="T3481" s="14">
        <f t="shared" si="327"/>
        <v>41811.855092592588</v>
      </c>
      <c r="U3481" s="64">
        <f t="shared" si="328"/>
        <v>30</v>
      </c>
      <c r="V3481" s="13" t="str">
        <f t="shared" si="329"/>
        <v>funded</v>
      </c>
    </row>
    <row r="3482" spans="1:22" ht="48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8314</v>
      </c>
      <c r="R3482" t="s">
        <v>8315</v>
      </c>
      <c r="S3482" s="14">
        <f t="shared" si="326"/>
        <v>42171.317442129628</v>
      </c>
      <c r="T3482" s="14">
        <f t="shared" si="327"/>
        <v>42195.875</v>
      </c>
      <c r="U3482" s="64">
        <f t="shared" si="328"/>
        <v>24.557557870371966</v>
      </c>
      <c r="V3482" s="13" t="str">
        <f t="shared" si="329"/>
        <v>funded</v>
      </c>
    </row>
    <row r="3483" spans="1:22" ht="48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8314</v>
      </c>
      <c r="R3483" t="s">
        <v>8315</v>
      </c>
      <c r="S3483" s="14">
        <f t="shared" si="326"/>
        <v>41989.24754629629</v>
      </c>
      <c r="T3483" s="14">
        <f t="shared" si="327"/>
        <v>42006.24754629629</v>
      </c>
      <c r="U3483" s="64">
        <f t="shared" si="328"/>
        <v>17</v>
      </c>
      <c r="V3483" s="13" t="str">
        <f t="shared" si="329"/>
        <v>funded</v>
      </c>
    </row>
    <row r="3484" spans="1:22" ht="48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8314</v>
      </c>
      <c r="R3484" t="s">
        <v>8315</v>
      </c>
      <c r="S3484" s="14">
        <f t="shared" si="326"/>
        <v>41796.771597222221</v>
      </c>
      <c r="T3484" s="14">
        <f t="shared" si="327"/>
        <v>41826.771597222221</v>
      </c>
      <c r="U3484" s="64">
        <f t="shared" si="328"/>
        <v>30</v>
      </c>
      <c r="V3484" s="13" t="str">
        <f t="shared" si="329"/>
        <v>funded</v>
      </c>
    </row>
    <row r="3485" spans="1:22" ht="48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8314</v>
      </c>
      <c r="R3485" t="s">
        <v>8315</v>
      </c>
      <c r="S3485" s="14">
        <f t="shared" si="326"/>
        <v>41793.668761574074</v>
      </c>
      <c r="T3485" s="14">
        <f t="shared" si="327"/>
        <v>41823.668761574074</v>
      </c>
      <c r="U3485" s="64">
        <f t="shared" si="328"/>
        <v>30</v>
      </c>
      <c r="V3485" s="13" t="str">
        <f t="shared" si="329"/>
        <v>funded</v>
      </c>
    </row>
    <row r="3486" spans="1:22" ht="48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8314</v>
      </c>
      <c r="R3486" t="s">
        <v>8315</v>
      </c>
      <c r="S3486" s="14">
        <f t="shared" si="326"/>
        <v>42506.760405092587</v>
      </c>
      <c r="T3486" s="14">
        <f t="shared" si="327"/>
        <v>42536.760405092587</v>
      </c>
      <c r="U3486" s="64">
        <f t="shared" si="328"/>
        <v>30</v>
      </c>
      <c r="V3486" s="13" t="str">
        <f t="shared" si="329"/>
        <v>funded</v>
      </c>
    </row>
    <row r="3487" spans="1:22" ht="48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8314</v>
      </c>
      <c r="R3487" t="s">
        <v>8315</v>
      </c>
      <c r="S3487" s="14">
        <f t="shared" si="326"/>
        <v>42372.693055555559</v>
      </c>
      <c r="T3487" s="14">
        <f t="shared" si="327"/>
        <v>42402.693055555559</v>
      </c>
      <c r="U3487" s="64">
        <f t="shared" si="328"/>
        <v>30</v>
      </c>
      <c r="V3487" s="13" t="str">
        <f t="shared" si="329"/>
        <v>funded</v>
      </c>
    </row>
    <row r="3488" spans="1:22" ht="48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8314</v>
      </c>
      <c r="R3488" t="s">
        <v>8315</v>
      </c>
      <c r="S3488" s="14">
        <f t="shared" si="326"/>
        <v>42126.87501157407</v>
      </c>
      <c r="T3488" s="14">
        <f t="shared" si="327"/>
        <v>42158.290972222225</v>
      </c>
      <c r="U3488" s="64">
        <f t="shared" si="328"/>
        <v>31.415960648155306</v>
      </c>
      <c r="V3488" s="13" t="str">
        <f t="shared" si="329"/>
        <v>funded</v>
      </c>
    </row>
    <row r="3489" spans="1:22" ht="48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8314</v>
      </c>
      <c r="R3489" t="s">
        <v>8315</v>
      </c>
      <c r="S3489" s="14">
        <f t="shared" si="326"/>
        <v>42149.940416666665</v>
      </c>
      <c r="T3489" s="14">
        <f t="shared" si="327"/>
        <v>42179.940416666665</v>
      </c>
      <c r="U3489" s="64">
        <f t="shared" si="328"/>
        <v>30</v>
      </c>
      <c r="V3489" s="13" t="str">
        <f t="shared" si="329"/>
        <v>funded</v>
      </c>
    </row>
    <row r="3490" spans="1:22" ht="48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8314</v>
      </c>
      <c r="R3490" t="s">
        <v>8315</v>
      </c>
      <c r="S3490" s="14">
        <f t="shared" si="326"/>
        <v>42087.768055555556</v>
      </c>
      <c r="T3490" s="14">
        <f t="shared" si="327"/>
        <v>42111.666666666672</v>
      </c>
      <c r="U3490" s="64">
        <f t="shared" si="328"/>
        <v>23.898611111115315</v>
      </c>
      <c r="V3490" s="13" t="str">
        <f t="shared" si="329"/>
        <v>funded</v>
      </c>
    </row>
    <row r="3491" spans="1:22" ht="48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8314</v>
      </c>
      <c r="R3491" t="s">
        <v>8315</v>
      </c>
      <c r="S3491" s="14">
        <f t="shared" si="326"/>
        <v>41753.635775462964</v>
      </c>
      <c r="T3491" s="14">
        <f t="shared" si="327"/>
        <v>41783.875</v>
      </c>
      <c r="U3491" s="64">
        <f t="shared" si="328"/>
        <v>30.239224537035625</v>
      </c>
      <c r="V3491" s="13" t="str">
        <f t="shared" si="329"/>
        <v>funded</v>
      </c>
    </row>
    <row r="3492" spans="1:22" ht="48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8314</v>
      </c>
      <c r="R3492" t="s">
        <v>8315</v>
      </c>
      <c r="S3492" s="14">
        <f t="shared" si="326"/>
        <v>42443.802361111113</v>
      </c>
      <c r="T3492" s="14">
        <f t="shared" si="327"/>
        <v>42473.802361111113</v>
      </c>
      <c r="U3492" s="64">
        <f t="shared" si="328"/>
        <v>30</v>
      </c>
      <c r="V3492" s="13" t="str">
        <f t="shared" si="329"/>
        <v>funded</v>
      </c>
    </row>
    <row r="3493" spans="1:22" ht="48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8314</v>
      </c>
      <c r="R3493" t="s">
        <v>8315</v>
      </c>
      <c r="S3493" s="14">
        <f t="shared" si="326"/>
        <v>42121.249814814815</v>
      </c>
      <c r="T3493" s="14">
        <f t="shared" si="327"/>
        <v>42142.249814814815</v>
      </c>
      <c r="U3493" s="64">
        <f t="shared" si="328"/>
        <v>21</v>
      </c>
      <c r="V3493" s="13" t="str">
        <f t="shared" si="329"/>
        <v>funded</v>
      </c>
    </row>
    <row r="3494" spans="1:22" ht="48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8314</v>
      </c>
      <c r="R3494" t="s">
        <v>8315</v>
      </c>
      <c r="S3494" s="14">
        <f t="shared" si="326"/>
        <v>42268.009224537032</v>
      </c>
      <c r="T3494" s="14">
        <f t="shared" si="327"/>
        <v>42303.009224537032</v>
      </c>
      <c r="U3494" s="64">
        <f t="shared" si="328"/>
        <v>35</v>
      </c>
      <c r="V3494" s="13" t="str">
        <f t="shared" si="329"/>
        <v>funded</v>
      </c>
    </row>
    <row r="3495" spans="1:22" ht="48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8314</v>
      </c>
      <c r="R3495" t="s">
        <v>8315</v>
      </c>
      <c r="S3495" s="14">
        <f t="shared" si="326"/>
        <v>41848.866157407407</v>
      </c>
      <c r="T3495" s="14">
        <f t="shared" si="327"/>
        <v>41868.21597222222</v>
      </c>
      <c r="U3495" s="64">
        <f t="shared" si="328"/>
        <v>19.349814814813726</v>
      </c>
      <c r="V3495" s="13" t="str">
        <f t="shared" si="329"/>
        <v>funded</v>
      </c>
    </row>
    <row r="3496" spans="1:22" ht="48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8314</v>
      </c>
      <c r="R3496" t="s">
        <v>8315</v>
      </c>
      <c r="S3496" s="14">
        <f t="shared" si="326"/>
        <v>42689.214988425927</v>
      </c>
      <c r="T3496" s="14">
        <f t="shared" si="327"/>
        <v>42700.25</v>
      </c>
      <c r="U3496" s="64">
        <f t="shared" si="328"/>
        <v>11.035011574072996</v>
      </c>
      <c r="V3496" s="13" t="str">
        <f t="shared" si="329"/>
        <v>funded</v>
      </c>
    </row>
    <row r="3497" spans="1:22" ht="48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8314</v>
      </c>
      <c r="R3497" t="s">
        <v>8315</v>
      </c>
      <c r="S3497" s="14">
        <f t="shared" si="326"/>
        <v>41915.762835648151</v>
      </c>
      <c r="T3497" s="14">
        <f t="shared" si="327"/>
        <v>41944.720833333333</v>
      </c>
      <c r="U3497" s="64">
        <f t="shared" si="328"/>
        <v>28.957997685181908</v>
      </c>
      <c r="V3497" s="13" t="str">
        <f t="shared" si="329"/>
        <v>funded</v>
      </c>
    </row>
    <row r="3498" spans="1:22" ht="48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8314</v>
      </c>
      <c r="R3498" t="s">
        <v>8315</v>
      </c>
      <c r="S3498" s="14">
        <f t="shared" si="326"/>
        <v>42584.846828703703</v>
      </c>
      <c r="T3498" s="14">
        <f t="shared" si="327"/>
        <v>42624.846828703703</v>
      </c>
      <c r="U3498" s="64">
        <f t="shared" si="328"/>
        <v>40</v>
      </c>
      <c r="V3498" s="13" t="str">
        <f t="shared" si="329"/>
        <v>funded</v>
      </c>
    </row>
    <row r="3499" spans="1:22" ht="48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8314</v>
      </c>
      <c r="R3499" t="s">
        <v>8315</v>
      </c>
      <c r="S3499" s="14">
        <f t="shared" si="326"/>
        <v>42511.741944444439</v>
      </c>
      <c r="T3499" s="14">
        <f t="shared" si="327"/>
        <v>42523.916666666672</v>
      </c>
      <c r="U3499" s="64">
        <f t="shared" si="328"/>
        <v>12.174722222232958</v>
      </c>
      <c r="V3499" s="13" t="str">
        <f t="shared" si="329"/>
        <v>funded</v>
      </c>
    </row>
    <row r="3500" spans="1:22" ht="48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8314</v>
      </c>
      <c r="R3500" t="s">
        <v>8315</v>
      </c>
      <c r="S3500" s="14">
        <f t="shared" si="326"/>
        <v>42459.15861111111</v>
      </c>
      <c r="T3500" s="14">
        <f t="shared" si="327"/>
        <v>42518.905555555553</v>
      </c>
      <c r="U3500" s="64">
        <f t="shared" si="328"/>
        <v>59.746944444443216</v>
      </c>
      <c r="V3500" s="13" t="str">
        <f t="shared" si="329"/>
        <v>funded</v>
      </c>
    </row>
    <row r="3501" spans="1:22" ht="48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8314</v>
      </c>
      <c r="R3501" t="s">
        <v>8315</v>
      </c>
      <c r="S3501" s="14">
        <f t="shared" si="326"/>
        <v>42132.036168981482</v>
      </c>
      <c r="T3501" s="14">
        <f t="shared" si="327"/>
        <v>42186.290972222225</v>
      </c>
      <c r="U3501" s="64">
        <f t="shared" si="328"/>
        <v>54.254803240743058</v>
      </c>
      <c r="V3501" s="13" t="str">
        <f t="shared" si="329"/>
        <v>funded</v>
      </c>
    </row>
    <row r="3502" spans="1:22" ht="48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8314</v>
      </c>
      <c r="R3502" t="s">
        <v>8315</v>
      </c>
      <c r="S3502" s="14">
        <f t="shared" si="326"/>
        <v>42419.91942129629</v>
      </c>
      <c r="T3502" s="14">
        <f t="shared" si="327"/>
        <v>42436.207638888889</v>
      </c>
      <c r="U3502" s="64">
        <f t="shared" si="328"/>
        <v>16.288217592598812</v>
      </c>
      <c r="V3502" s="13" t="str">
        <f t="shared" si="329"/>
        <v>funded</v>
      </c>
    </row>
    <row r="3503" spans="1:22" ht="48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8314</v>
      </c>
      <c r="R3503" t="s">
        <v>8315</v>
      </c>
      <c r="S3503" s="14">
        <f t="shared" si="326"/>
        <v>42233.763831018514</v>
      </c>
      <c r="T3503" s="14">
        <f t="shared" si="327"/>
        <v>42258.763831018514</v>
      </c>
      <c r="U3503" s="64">
        <f t="shared" si="328"/>
        <v>25</v>
      </c>
      <c r="V3503" s="13" t="str">
        <f t="shared" si="329"/>
        <v>funded</v>
      </c>
    </row>
    <row r="3504" spans="1:22" ht="48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8314</v>
      </c>
      <c r="R3504" t="s">
        <v>8315</v>
      </c>
      <c r="S3504" s="14">
        <f t="shared" si="326"/>
        <v>42430.839398148149</v>
      </c>
      <c r="T3504" s="14">
        <f t="shared" si="327"/>
        <v>42445.165972222225</v>
      </c>
      <c r="U3504" s="64">
        <f t="shared" si="328"/>
        <v>14.326574074075324</v>
      </c>
      <c r="V3504" s="13" t="str">
        <f t="shared" si="329"/>
        <v>funded</v>
      </c>
    </row>
    <row r="3505" spans="1:22" ht="48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8314</v>
      </c>
      <c r="R3505" t="s">
        <v>8315</v>
      </c>
      <c r="S3505" s="14">
        <f t="shared" si="326"/>
        <v>42545.478333333333</v>
      </c>
      <c r="T3505" s="14">
        <f t="shared" si="327"/>
        <v>42575.478333333333</v>
      </c>
      <c r="U3505" s="64">
        <f t="shared" si="328"/>
        <v>30</v>
      </c>
      <c r="V3505" s="13" t="str">
        <f t="shared" si="329"/>
        <v>funded</v>
      </c>
    </row>
    <row r="3506" spans="1:22" ht="48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8314</v>
      </c>
      <c r="R3506" t="s">
        <v>8315</v>
      </c>
      <c r="S3506" s="14">
        <f t="shared" si="326"/>
        <v>42297.748738425929</v>
      </c>
      <c r="T3506" s="14">
        <f t="shared" si="327"/>
        <v>42327.790405092594</v>
      </c>
      <c r="U3506" s="64">
        <f t="shared" si="328"/>
        <v>30.041666666664241</v>
      </c>
      <c r="V3506" s="13" t="str">
        <f t="shared" si="329"/>
        <v>funded</v>
      </c>
    </row>
    <row r="3507" spans="1:22" ht="96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8314</v>
      </c>
      <c r="R3507" t="s">
        <v>8315</v>
      </c>
      <c r="S3507" s="14">
        <f t="shared" si="326"/>
        <v>41760.935706018521</v>
      </c>
      <c r="T3507" s="14">
        <f t="shared" si="327"/>
        <v>41772.166666666664</v>
      </c>
      <c r="U3507" s="64">
        <f t="shared" si="328"/>
        <v>11.230960648143082</v>
      </c>
      <c r="V3507" s="13" t="str">
        <f t="shared" si="329"/>
        <v>funded</v>
      </c>
    </row>
    <row r="3508" spans="1:22" ht="48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8314</v>
      </c>
      <c r="R3508" t="s">
        <v>8315</v>
      </c>
      <c r="S3508" s="14">
        <f t="shared" si="326"/>
        <v>41829.734259259261</v>
      </c>
      <c r="T3508" s="14">
        <f t="shared" si="327"/>
        <v>41874.734259259261</v>
      </c>
      <c r="U3508" s="64">
        <f t="shared" si="328"/>
        <v>45</v>
      </c>
      <c r="V3508" s="13" t="str">
        <f t="shared" si="329"/>
        <v>funded</v>
      </c>
    </row>
    <row r="3509" spans="1:22" ht="3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8314</v>
      </c>
      <c r="R3509" t="s">
        <v>8315</v>
      </c>
      <c r="S3509" s="14">
        <f t="shared" si="326"/>
        <v>42491.92288194444</v>
      </c>
      <c r="T3509" s="14">
        <f t="shared" si="327"/>
        <v>42521.92288194444</v>
      </c>
      <c r="U3509" s="64">
        <f t="shared" si="328"/>
        <v>30</v>
      </c>
      <c r="V3509" s="13" t="str">
        <f t="shared" si="329"/>
        <v>funded</v>
      </c>
    </row>
    <row r="3510" spans="1:22" ht="48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8314</v>
      </c>
      <c r="R3510" t="s">
        <v>8315</v>
      </c>
      <c r="S3510" s="14">
        <f t="shared" si="326"/>
        <v>42477.729780092588</v>
      </c>
      <c r="T3510" s="14">
        <f t="shared" si="327"/>
        <v>42500.875</v>
      </c>
      <c r="U3510" s="64">
        <f t="shared" si="328"/>
        <v>23.145219907411956</v>
      </c>
      <c r="V3510" s="13" t="str">
        <f t="shared" si="329"/>
        <v>funded</v>
      </c>
    </row>
    <row r="3511" spans="1:22" ht="48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8314</v>
      </c>
      <c r="R3511" t="s">
        <v>8315</v>
      </c>
      <c r="S3511" s="14">
        <f t="shared" si="326"/>
        <v>41950.859560185185</v>
      </c>
      <c r="T3511" s="14">
        <f t="shared" si="327"/>
        <v>41964.204861111109</v>
      </c>
      <c r="U3511" s="64">
        <f t="shared" si="328"/>
        <v>13.345300925924676</v>
      </c>
      <c r="V3511" s="13" t="str">
        <f t="shared" si="329"/>
        <v>funded</v>
      </c>
    </row>
    <row r="3512" spans="1:22" ht="48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8314</v>
      </c>
      <c r="R3512" t="s">
        <v>8315</v>
      </c>
      <c r="S3512" s="14">
        <f t="shared" si="326"/>
        <v>41802.62090277778</v>
      </c>
      <c r="T3512" s="14">
        <f t="shared" si="327"/>
        <v>41822.62090277778</v>
      </c>
      <c r="U3512" s="64">
        <f t="shared" si="328"/>
        <v>20</v>
      </c>
      <c r="V3512" s="13" t="str">
        <f t="shared" si="329"/>
        <v>funded</v>
      </c>
    </row>
    <row r="3513" spans="1:22" ht="48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8314</v>
      </c>
      <c r="R3513" t="s">
        <v>8315</v>
      </c>
      <c r="S3513" s="14">
        <f t="shared" si="326"/>
        <v>41927.873784722222</v>
      </c>
      <c r="T3513" s="14">
        <f t="shared" si="327"/>
        <v>41950.770833333336</v>
      </c>
      <c r="U3513" s="64">
        <f t="shared" si="328"/>
        <v>22.89704861111386</v>
      </c>
      <c r="V3513" s="13" t="str">
        <f t="shared" si="329"/>
        <v>funded</v>
      </c>
    </row>
    <row r="3514" spans="1:22" ht="48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8314</v>
      </c>
      <c r="R3514" t="s">
        <v>8315</v>
      </c>
      <c r="S3514" s="14">
        <f t="shared" si="326"/>
        <v>42057.536944444444</v>
      </c>
      <c r="T3514" s="14">
        <f t="shared" si="327"/>
        <v>42117.49527777778</v>
      </c>
      <c r="U3514" s="64">
        <f t="shared" si="328"/>
        <v>59.958333333335759</v>
      </c>
      <c r="V3514" s="13" t="str">
        <f t="shared" si="329"/>
        <v>funded</v>
      </c>
    </row>
    <row r="3515" spans="1:22" ht="48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8314</v>
      </c>
      <c r="R3515" t="s">
        <v>8315</v>
      </c>
      <c r="S3515" s="14">
        <f t="shared" si="326"/>
        <v>41781.096203703702</v>
      </c>
      <c r="T3515" s="14">
        <f t="shared" si="327"/>
        <v>41794.207638888889</v>
      </c>
      <c r="U3515" s="64">
        <f t="shared" si="328"/>
        <v>13.111435185186565</v>
      </c>
      <c r="V3515" s="13" t="str">
        <f t="shared" si="329"/>
        <v>funded</v>
      </c>
    </row>
    <row r="3516" spans="1:22" ht="48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8314</v>
      </c>
      <c r="R3516" t="s">
        <v>8315</v>
      </c>
      <c r="S3516" s="14">
        <f t="shared" si="326"/>
        <v>42020.846666666665</v>
      </c>
      <c r="T3516" s="14">
        <f t="shared" si="327"/>
        <v>42037.207638888889</v>
      </c>
      <c r="U3516" s="64">
        <f t="shared" si="328"/>
        <v>16.360972222224518</v>
      </c>
      <c r="V3516" s="13" t="str">
        <f t="shared" si="329"/>
        <v>funded</v>
      </c>
    </row>
    <row r="3517" spans="1:22" ht="48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8314</v>
      </c>
      <c r="R3517" t="s">
        <v>8315</v>
      </c>
      <c r="S3517" s="14">
        <f t="shared" si="326"/>
        <v>42125.772812499999</v>
      </c>
      <c r="T3517" s="14">
        <f t="shared" si="327"/>
        <v>42155.772812499999</v>
      </c>
      <c r="U3517" s="64">
        <f t="shared" si="328"/>
        <v>30</v>
      </c>
      <c r="V3517" s="13" t="str">
        <f t="shared" si="329"/>
        <v>funded</v>
      </c>
    </row>
    <row r="3518" spans="1:22" ht="48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8314</v>
      </c>
      <c r="R3518" t="s">
        <v>8315</v>
      </c>
      <c r="S3518" s="14">
        <f t="shared" si="326"/>
        <v>41856.010069444441</v>
      </c>
      <c r="T3518" s="14">
        <f t="shared" si="327"/>
        <v>41890.125</v>
      </c>
      <c r="U3518" s="64">
        <f t="shared" si="328"/>
        <v>34.114930555559113</v>
      </c>
      <c r="V3518" s="13" t="str">
        <f t="shared" si="329"/>
        <v>funded</v>
      </c>
    </row>
    <row r="3519" spans="1:22" ht="48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8314</v>
      </c>
      <c r="R3519" t="s">
        <v>8315</v>
      </c>
      <c r="S3519" s="14">
        <f t="shared" si="326"/>
        <v>41794.817523148151</v>
      </c>
      <c r="T3519" s="14">
        <f t="shared" si="327"/>
        <v>41824.458333333336</v>
      </c>
      <c r="U3519" s="64">
        <f t="shared" si="328"/>
        <v>29.640810185184819</v>
      </c>
      <c r="V3519" s="13" t="str">
        <f t="shared" si="329"/>
        <v>funded</v>
      </c>
    </row>
    <row r="3520" spans="1:22" ht="48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8314</v>
      </c>
      <c r="R3520" t="s">
        <v>8315</v>
      </c>
      <c r="S3520" s="14">
        <f t="shared" si="326"/>
        <v>41893.783553240741</v>
      </c>
      <c r="T3520" s="14">
        <f t="shared" si="327"/>
        <v>41914.597916666666</v>
      </c>
      <c r="U3520" s="64">
        <f t="shared" si="328"/>
        <v>20.814363425924967</v>
      </c>
      <c r="V3520" s="13" t="str">
        <f t="shared" si="329"/>
        <v>funded</v>
      </c>
    </row>
    <row r="3521" spans="1:22" ht="48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8314</v>
      </c>
      <c r="R3521" t="s">
        <v>8315</v>
      </c>
      <c r="S3521" s="14">
        <f t="shared" si="326"/>
        <v>42037.598958333328</v>
      </c>
      <c r="T3521" s="14">
        <f t="shared" si="327"/>
        <v>42067.598958333328</v>
      </c>
      <c r="U3521" s="64">
        <f t="shared" si="328"/>
        <v>30</v>
      </c>
      <c r="V3521" s="13" t="str">
        <f t="shared" si="329"/>
        <v>funded</v>
      </c>
    </row>
    <row r="3522" spans="1:22" ht="3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101</v>
      </c>
      <c r="P3522">
        <f t="shared" si="325"/>
        <v>95.95</v>
      </c>
      <c r="Q3522" s="10" t="s">
        <v>8314</v>
      </c>
      <c r="R3522" t="s">
        <v>8315</v>
      </c>
      <c r="S3522" s="14">
        <f t="shared" si="326"/>
        <v>42227.824212962965</v>
      </c>
      <c r="T3522" s="14">
        <f t="shared" si="327"/>
        <v>42253.57430555555</v>
      </c>
      <c r="U3522" s="64">
        <f t="shared" si="328"/>
        <v>25.750092592585133</v>
      </c>
      <c r="V3522" s="13" t="str">
        <f t="shared" si="329"/>
        <v>funded</v>
      </c>
    </row>
    <row r="3523" spans="1:22" ht="48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>ROUND(E3523/D3523*100,0)</f>
        <v>169</v>
      </c>
      <c r="P3523">
        <f t="shared" ref="P3523:P3586" si="331">IFERROR(ROUND(E3523/L3523,2), 0)</f>
        <v>45.62</v>
      </c>
      <c r="Q3523" s="10" t="s">
        <v>8314</v>
      </c>
      <c r="R3523" t="s">
        <v>8315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 s="64">
        <f t="shared" ref="U3523:V3586" si="334">T3523-S3523</f>
        <v>30</v>
      </c>
      <c r="V3523" s="13" t="str">
        <f t="shared" ref="V3523:V3586" si="335">IF(E3523&gt;=D3523, "funded", "underfunded")</f>
        <v>funded</v>
      </c>
    </row>
    <row r="3524" spans="1:22" ht="48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8314</v>
      </c>
      <c r="R3524" t="s">
        <v>8315</v>
      </c>
      <c r="S3524" s="14">
        <f t="shared" si="332"/>
        <v>42234.789884259255</v>
      </c>
      <c r="T3524" s="14">
        <f t="shared" si="333"/>
        <v>42262.420833333337</v>
      </c>
      <c r="U3524" s="64">
        <f t="shared" si="334"/>
        <v>27.630949074082309</v>
      </c>
      <c r="V3524" s="13" t="str">
        <f t="shared" si="335"/>
        <v>funded</v>
      </c>
    </row>
    <row r="3525" spans="1:22" ht="48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8314</v>
      </c>
      <c r="R3525" t="s">
        <v>8315</v>
      </c>
      <c r="S3525" s="14">
        <f t="shared" si="332"/>
        <v>42581.397546296299</v>
      </c>
      <c r="T3525" s="14">
        <f t="shared" si="333"/>
        <v>42638.958333333328</v>
      </c>
      <c r="U3525" s="64">
        <f t="shared" si="334"/>
        <v>57.560787037029513</v>
      </c>
      <c r="V3525" s="13" t="str">
        <f t="shared" si="335"/>
        <v>funded</v>
      </c>
    </row>
    <row r="3526" spans="1:22" ht="48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8314</v>
      </c>
      <c r="R3526" t="s">
        <v>8315</v>
      </c>
      <c r="S3526" s="14">
        <f t="shared" si="332"/>
        <v>41880.76357638889</v>
      </c>
      <c r="T3526" s="14">
        <f t="shared" si="333"/>
        <v>41895.166666666664</v>
      </c>
      <c r="U3526" s="64">
        <f t="shared" si="334"/>
        <v>14.403090277774027</v>
      </c>
      <c r="V3526" s="13" t="str">
        <f t="shared" si="335"/>
        <v>funded</v>
      </c>
    </row>
    <row r="3527" spans="1:22" ht="48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8314</v>
      </c>
      <c r="R3527" t="s">
        <v>8315</v>
      </c>
      <c r="S3527" s="14">
        <f t="shared" si="332"/>
        <v>42214.6956712963</v>
      </c>
      <c r="T3527" s="14">
        <f t="shared" si="333"/>
        <v>42225.666666666672</v>
      </c>
      <c r="U3527" s="64">
        <f t="shared" si="334"/>
        <v>10.970995370371384</v>
      </c>
      <c r="V3527" s="13" t="str">
        <f t="shared" si="335"/>
        <v>funded</v>
      </c>
    </row>
    <row r="3528" spans="1:22" ht="48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8314</v>
      </c>
      <c r="R3528" t="s">
        <v>8315</v>
      </c>
      <c r="S3528" s="14">
        <f t="shared" si="332"/>
        <v>42460.335312499999</v>
      </c>
      <c r="T3528" s="14">
        <f t="shared" si="333"/>
        <v>42488.249305555553</v>
      </c>
      <c r="U3528" s="64">
        <f t="shared" si="334"/>
        <v>27.913993055553874</v>
      </c>
      <c r="V3528" s="13" t="str">
        <f t="shared" si="335"/>
        <v>funded</v>
      </c>
    </row>
    <row r="3529" spans="1:22" ht="48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8314</v>
      </c>
      <c r="R3529" t="s">
        <v>8315</v>
      </c>
      <c r="S3529" s="14">
        <f t="shared" si="332"/>
        <v>42167.023206018523</v>
      </c>
      <c r="T3529" s="14">
        <f t="shared" si="333"/>
        <v>42196.165972222225</v>
      </c>
      <c r="U3529" s="64">
        <f t="shared" si="334"/>
        <v>29.142766203702195</v>
      </c>
      <c r="V3529" s="13" t="str">
        <f t="shared" si="335"/>
        <v>funded</v>
      </c>
    </row>
    <row r="3530" spans="1:22" ht="48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8314</v>
      </c>
      <c r="R3530" t="s">
        <v>8315</v>
      </c>
      <c r="S3530" s="14">
        <f t="shared" si="332"/>
        <v>42733.50136574074</v>
      </c>
      <c r="T3530" s="14">
        <f t="shared" si="333"/>
        <v>42753.50136574074</v>
      </c>
      <c r="U3530" s="64">
        <f t="shared" si="334"/>
        <v>20</v>
      </c>
      <c r="V3530" s="13" t="str">
        <f t="shared" si="335"/>
        <v>funded</v>
      </c>
    </row>
    <row r="3531" spans="1:22" ht="48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8314</v>
      </c>
      <c r="R3531" t="s">
        <v>8315</v>
      </c>
      <c r="S3531" s="14">
        <f t="shared" si="332"/>
        <v>42177.761782407411</v>
      </c>
      <c r="T3531" s="14">
        <f t="shared" si="333"/>
        <v>42198.041666666672</v>
      </c>
      <c r="U3531" s="64">
        <f t="shared" si="334"/>
        <v>20.279884259260143</v>
      </c>
      <c r="V3531" s="13" t="str">
        <f t="shared" si="335"/>
        <v>funded</v>
      </c>
    </row>
    <row r="3532" spans="1:22" ht="48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8314</v>
      </c>
      <c r="R3532" t="s">
        <v>8315</v>
      </c>
      <c r="S3532" s="14">
        <f t="shared" si="332"/>
        <v>42442.623344907406</v>
      </c>
      <c r="T3532" s="14">
        <f t="shared" si="333"/>
        <v>42470.833333333328</v>
      </c>
      <c r="U3532" s="64">
        <f t="shared" si="334"/>
        <v>28.209988425922347</v>
      </c>
      <c r="V3532" s="13" t="str">
        <f t="shared" si="335"/>
        <v>funded</v>
      </c>
    </row>
    <row r="3533" spans="1:22" ht="16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8314</v>
      </c>
      <c r="R3533" t="s">
        <v>8315</v>
      </c>
      <c r="S3533" s="14">
        <f t="shared" si="332"/>
        <v>42521.654328703706</v>
      </c>
      <c r="T3533" s="14">
        <f t="shared" si="333"/>
        <v>42551.654328703706</v>
      </c>
      <c r="U3533" s="64">
        <f t="shared" si="334"/>
        <v>30</v>
      </c>
      <c r="V3533" s="13" t="str">
        <f t="shared" si="335"/>
        <v>funded</v>
      </c>
    </row>
    <row r="3534" spans="1:22" ht="48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8314</v>
      </c>
      <c r="R3534" t="s">
        <v>8315</v>
      </c>
      <c r="S3534" s="14">
        <f t="shared" si="332"/>
        <v>41884.599849537037</v>
      </c>
      <c r="T3534" s="14">
        <f t="shared" si="333"/>
        <v>41900.165972222225</v>
      </c>
      <c r="U3534" s="64">
        <f t="shared" si="334"/>
        <v>15.56612268518802</v>
      </c>
      <c r="V3534" s="13" t="str">
        <f t="shared" si="335"/>
        <v>funded</v>
      </c>
    </row>
    <row r="3535" spans="1:22" ht="48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8314</v>
      </c>
      <c r="R3535" t="s">
        <v>8315</v>
      </c>
      <c r="S3535" s="14">
        <f t="shared" si="332"/>
        <v>42289.761192129634</v>
      </c>
      <c r="T3535" s="14">
        <f t="shared" si="333"/>
        <v>42319.802858796291</v>
      </c>
      <c r="U3535" s="64">
        <f t="shared" si="334"/>
        <v>30.041666666656965</v>
      </c>
      <c r="V3535" s="13" t="str">
        <f t="shared" si="335"/>
        <v>funded</v>
      </c>
    </row>
    <row r="3536" spans="1:22" ht="3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8314</v>
      </c>
      <c r="R3536" t="s">
        <v>8315</v>
      </c>
      <c r="S3536" s="14">
        <f t="shared" si="332"/>
        <v>42243.6252662037</v>
      </c>
      <c r="T3536" s="14">
        <f t="shared" si="333"/>
        <v>42278.6252662037</v>
      </c>
      <c r="U3536" s="64">
        <f t="shared" si="334"/>
        <v>35</v>
      </c>
      <c r="V3536" s="13" t="str">
        <f t="shared" si="335"/>
        <v>funded</v>
      </c>
    </row>
    <row r="3537" spans="1:22" ht="48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8314</v>
      </c>
      <c r="R3537" t="s">
        <v>8315</v>
      </c>
      <c r="S3537" s="14">
        <f t="shared" si="332"/>
        <v>42248.640162037031</v>
      </c>
      <c r="T3537" s="14">
        <f t="shared" si="333"/>
        <v>42279.75</v>
      </c>
      <c r="U3537" s="64">
        <f t="shared" si="334"/>
        <v>31.109837962969323</v>
      </c>
      <c r="V3537" s="13" t="str">
        <f t="shared" si="335"/>
        <v>funded</v>
      </c>
    </row>
    <row r="3538" spans="1:22" ht="48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8314</v>
      </c>
      <c r="R3538" t="s">
        <v>8315</v>
      </c>
      <c r="S3538" s="14">
        <f t="shared" si="332"/>
        <v>42328.727141203708</v>
      </c>
      <c r="T3538" s="14">
        <f t="shared" si="333"/>
        <v>42358.499305555553</v>
      </c>
      <c r="U3538" s="64">
        <f t="shared" si="334"/>
        <v>29.772164351845277</v>
      </c>
      <c r="V3538" s="13" t="str">
        <f t="shared" si="335"/>
        <v>funded</v>
      </c>
    </row>
    <row r="3539" spans="1:22" ht="48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8314</v>
      </c>
      <c r="R3539" t="s">
        <v>8315</v>
      </c>
      <c r="S3539" s="14">
        <f t="shared" si="332"/>
        <v>41923.354351851849</v>
      </c>
      <c r="T3539" s="14">
        <f t="shared" si="333"/>
        <v>41960.332638888889</v>
      </c>
      <c r="U3539" s="64">
        <f t="shared" si="334"/>
        <v>36.978287037039991</v>
      </c>
      <c r="V3539" s="13" t="str">
        <f t="shared" si="335"/>
        <v>funded</v>
      </c>
    </row>
    <row r="3540" spans="1:22" ht="48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8314</v>
      </c>
      <c r="R3540" t="s">
        <v>8315</v>
      </c>
      <c r="S3540" s="14">
        <f t="shared" si="332"/>
        <v>42571.420601851853</v>
      </c>
      <c r="T3540" s="14">
        <f t="shared" si="333"/>
        <v>42599.420601851853</v>
      </c>
      <c r="U3540" s="64">
        <f t="shared" si="334"/>
        <v>28</v>
      </c>
      <c r="V3540" s="13" t="str">
        <f t="shared" si="335"/>
        <v>funded</v>
      </c>
    </row>
    <row r="3541" spans="1:22" ht="48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8314</v>
      </c>
      <c r="R3541" t="s">
        <v>8315</v>
      </c>
      <c r="S3541" s="14">
        <f t="shared" si="332"/>
        <v>42600.756041666667</v>
      </c>
      <c r="T3541" s="14">
        <f t="shared" si="333"/>
        <v>42621.756041666667</v>
      </c>
      <c r="U3541" s="64">
        <f t="shared" si="334"/>
        <v>21</v>
      </c>
      <c r="V3541" s="13" t="str">
        <f t="shared" si="335"/>
        <v>funded</v>
      </c>
    </row>
    <row r="3542" spans="1:22" ht="48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8314</v>
      </c>
      <c r="R3542" t="s">
        <v>8315</v>
      </c>
      <c r="S3542" s="14">
        <f t="shared" si="332"/>
        <v>42517.003368055557</v>
      </c>
      <c r="T3542" s="14">
        <f t="shared" si="333"/>
        <v>42547.003368055557</v>
      </c>
      <c r="U3542" s="64">
        <f t="shared" si="334"/>
        <v>30</v>
      </c>
      <c r="V3542" s="13" t="str">
        <f t="shared" si="335"/>
        <v>funded</v>
      </c>
    </row>
    <row r="3543" spans="1:22" ht="48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8314</v>
      </c>
      <c r="R3543" t="s">
        <v>8315</v>
      </c>
      <c r="S3543" s="14">
        <f t="shared" si="332"/>
        <v>42222.730034722219</v>
      </c>
      <c r="T3543" s="14">
        <f t="shared" si="333"/>
        <v>42247.730034722219</v>
      </c>
      <c r="U3543" s="64">
        <f t="shared" si="334"/>
        <v>25</v>
      </c>
      <c r="V3543" s="13" t="str">
        <f t="shared" si="335"/>
        <v>funded</v>
      </c>
    </row>
    <row r="3544" spans="1:22" ht="48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8314</v>
      </c>
      <c r="R3544" t="s">
        <v>8315</v>
      </c>
      <c r="S3544" s="14">
        <f t="shared" si="332"/>
        <v>41829.599791666667</v>
      </c>
      <c r="T3544" s="14">
        <f t="shared" si="333"/>
        <v>41889.599791666667</v>
      </c>
      <c r="U3544" s="64">
        <f t="shared" si="334"/>
        <v>60</v>
      </c>
      <c r="V3544" s="13" t="str">
        <f t="shared" si="335"/>
        <v>funded</v>
      </c>
    </row>
    <row r="3545" spans="1:22" ht="48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8314</v>
      </c>
      <c r="R3545" t="s">
        <v>8315</v>
      </c>
      <c r="S3545" s="14">
        <f t="shared" si="332"/>
        <v>42150.755312499998</v>
      </c>
      <c r="T3545" s="14">
        <f t="shared" si="333"/>
        <v>42180.755312499998</v>
      </c>
      <c r="U3545" s="64">
        <f t="shared" si="334"/>
        <v>30</v>
      </c>
      <c r="V3545" s="13" t="str">
        <f t="shared" si="335"/>
        <v>funded</v>
      </c>
    </row>
    <row r="3546" spans="1:22" ht="3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8314</v>
      </c>
      <c r="R3546" t="s">
        <v>8315</v>
      </c>
      <c r="S3546" s="14">
        <f t="shared" si="332"/>
        <v>42040.831678240742</v>
      </c>
      <c r="T3546" s="14">
        <f t="shared" si="333"/>
        <v>42070.831678240742</v>
      </c>
      <c r="U3546" s="64">
        <f t="shared" si="334"/>
        <v>30</v>
      </c>
      <c r="V3546" s="13" t="str">
        <f t="shared" si="335"/>
        <v>funded</v>
      </c>
    </row>
    <row r="3547" spans="1:22" ht="48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8314</v>
      </c>
      <c r="R3547" t="s">
        <v>8315</v>
      </c>
      <c r="S3547" s="14">
        <f t="shared" si="332"/>
        <v>42075.807395833333</v>
      </c>
      <c r="T3547" s="14">
        <f t="shared" si="333"/>
        <v>42105.807395833333</v>
      </c>
      <c r="U3547" s="64">
        <f t="shared" si="334"/>
        <v>30</v>
      </c>
      <c r="V3547" s="13" t="str">
        <f t="shared" si="335"/>
        <v>funded</v>
      </c>
    </row>
    <row r="3548" spans="1:22" ht="48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8314</v>
      </c>
      <c r="R3548" t="s">
        <v>8315</v>
      </c>
      <c r="S3548" s="14">
        <f t="shared" si="332"/>
        <v>42073.660694444443</v>
      </c>
      <c r="T3548" s="14">
        <f t="shared" si="333"/>
        <v>42095.165972222225</v>
      </c>
      <c r="U3548" s="64">
        <f t="shared" si="334"/>
        <v>21.505277777781885</v>
      </c>
      <c r="V3548" s="13" t="str">
        <f t="shared" si="335"/>
        <v>funded</v>
      </c>
    </row>
    <row r="3549" spans="1:22" ht="48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8314</v>
      </c>
      <c r="R3549" t="s">
        <v>8315</v>
      </c>
      <c r="S3549" s="14">
        <f t="shared" si="332"/>
        <v>42480.078715277778</v>
      </c>
      <c r="T3549" s="14">
        <f t="shared" si="333"/>
        <v>42504.165972222225</v>
      </c>
      <c r="U3549" s="64">
        <f t="shared" si="334"/>
        <v>24.08725694444729</v>
      </c>
      <c r="V3549" s="13" t="str">
        <f t="shared" si="335"/>
        <v>funded</v>
      </c>
    </row>
    <row r="3550" spans="1:22" ht="48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8314</v>
      </c>
      <c r="R3550" t="s">
        <v>8315</v>
      </c>
      <c r="S3550" s="14">
        <f t="shared" si="332"/>
        <v>42411.942291666666</v>
      </c>
      <c r="T3550" s="14">
        <f t="shared" si="333"/>
        <v>42434.041666666672</v>
      </c>
      <c r="U3550" s="64">
        <f t="shared" si="334"/>
        <v>22.099375000005239</v>
      </c>
      <c r="V3550" s="13" t="str">
        <f t="shared" si="335"/>
        <v>funded</v>
      </c>
    </row>
    <row r="3551" spans="1:22" ht="48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8314</v>
      </c>
      <c r="R3551" t="s">
        <v>8315</v>
      </c>
      <c r="S3551" s="14">
        <f t="shared" si="332"/>
        <v>42223.394363425927</v>
      </c>
      <c r="T3551" s="14">
        <f t="shared" si="333"/>
        <v>42251.394363425927</v>
      </c>
      <c r="U3551" s="64">
        <f t="shared" si="334"/>
        <v>28</v>
      </c>
      <c r="V3551" s="13" t="str">
        <f t="shared" si="335"/>
        <v>funded</v>
      </c>
    </row>
    <row r="3552" spans="1:22" ht="48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8314</v>
      </c>
      <c r="R3552" t="s">
        <v>8315</v>
      </c>
      <c r="S3552" s="14">
        <f t="shared" si="332"/>
        <v>42462.893495370372</v>
      </c>
      <c r="T3552" s="14">
        <f t="shared" si="333"/>
        <v>42492.893495370372</v>
      </c>
      <c r="U3552" s="64">
        <f t="shared" si="334"/>
        <v>30</v>
      </c>
      <c r="V3552" s="13" t="str">
        <f t="shared" si="335"/>
        <v>funded</v>
      </c>
    </row>
    <row r="3553" spans="1:22" ht="48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8314</v>
      </c>
      <c r="R3553" t="s">
        <v>8315</v>
      </c>
      <c r="S3553" s="14">
        <f t="shared" si="332"/>
        <v>41753.515856481477</v>
      </c>
      <c r="T3553" s="14">
        <f t="shared" si="333"/>
        <v>41781.921527777777</v>
      </c>
      <c r="U3553" s="64">
        <f t="shared" si="334"/>
        <v>28.405671296299261</v>
      </c>
      <c r="V3553" s="13" t="str">
        <f t="shared" si="335"/>
        <v>funded</v>
      </c>
    </row>
    <row r="3554" spans="1:22" ht="48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8314</v>
      </c>
      <c r="R3554" t="s">
        <v>8315</v>
      </c>
      <c r="S3554" s="14">
        <f t="shared" si="332"/>
        <v>41788.587083333332</v>
      </c>
      <c r="T3554" s="14">
        <f t="shared" si="333"/>
        <v>41818.587083333332</v>
      </c>
      <c r="U3554" s="64">
        <f t="shared" si="334"/>
        <v>30</v>
      </c>
      <c r="V3554" s="13" t="str">
        <f t="shared" si="335"/>
        <v>funded</v>
      </c>
    </row>
    <row r="3555" spans="1:22" ht="48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8314</v>
      </c>
      <c r="R3555" t="s">
        <v>8315</v>
      </c>
      <c r="S3555" s="14">
        <f t="shared" si="332"/>
        <v>42196.028703703705</v>
      </c>
      <c r="T3555" s="14">
        <f t="shared" si="333"/>
        <v>42228</v>
      </c>
      <c r="U3555" s="64">
        <f t="shared" si="334"/>
        <v>31.971296296294895</v>
      </c>
      <c r="V3555" s="13" t="str">
        <f t="shared" si="335"/>
        <v>funded</v>
      </c>
    </row>
    <row r="3556" spans="1:22" ht="48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8314</v>
      </c>
      <c r="R3556" t="s">
        <v>8315</v>
      </c>
      <c r="S3556" s="14">
        <f t="shared" si="332"/>
        <v>42016.050451388888</v>
      </c>
      <c r="T3556" s="14">
        <f t="shared" si="333"/>
        <v>42046.708333333328</v>
      </c>
      <c r="U3556" s="64">
        <f t="shared" si="334"/>
        <v>30.657881944440305</v>
      </c>
      <c r="V3556" s="13" t="str">
        <f t="shared" si="335"/>
        <v>funded</v>
      </c>
    </row>
    <row r="3557" spans="1:22" ht="48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8314</v>
      </c>
      <c r="R3557" t="s">
        <v>8315</v>
      </c>
      <c r="S3557" s="14">
        <f t="shared" si="332"/>
        <v>42661.442060185189</v>
      </c>
      <c r="T3557" s="14">
        <f t="shared" si="333"/>
        <v>42691.483726851846</v>
      </c>
      <c r="U3557" s="64">
        <f t="shared" si="334"/>
        <v>30.041666666656965</v>
      </c>
      <c r="V3557" s="13" t="str">
        <f t="shared" si="335"/>
        <v>funded</v>
      </c>
    </row>
    <row r="3558" spans="1:22" ht="48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8314</v>
      </c>
      <c r="R3558" t="s">
        <v>8315</v>
      </c>
      <c r="S3558" s="14">
        <f t="shared" si="332"/>
        <v>41808.649583333332</v>
      </c>
      <c r="T3558" s="14">
        <f t="shared" si="333"/>
        <v>41868.649583333332</v>
      </c>
      <c r="U3558" s="64">
        <f t="shared" si="334"/>
        <v>60</v>
      </c>
      <c r="V3558" s="13" t="str">
        <f t="shared" si="335"/>
        <v>funded</v>
      </c>
    </row>
    <row r="3559" spans="1:22" ht="48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8314</v>
      </c>
      <c r="R3559" t="s">
        <v>8315</v>
      </c>
      <c r="S3559" s="14">
        <f t="shared" si="332"/>
        <v>41730.276747685188</v>
      </c>
      <c r="T3559" s="14">
        <f t="shared" si="333"/>
        <v>41764.276747685188</v>
      </c>
      <c r="U3559" s="64">
        <f t="shared" si="334"/>
        <v>34</v>
      </c>
      <c r="V3559" s="13" t="str">
        <f t="shared" si="335"/>
        <v>funded</v>
      </c>
    </row>
    <row r="3560" spans="1:22" ht="48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8314</v>
      </c>
      <c r="R3560" t="s">
        <v>8315</v>
      </c>
      <c r="S3560" s="14">
        <f t="shared" si="332"/>
        <v>42139.816840277781</v>
      </c>
      <c r="T3560" s="14">
        <f t="shared" si="333"/>
        <v>42181.875</v>
      </c>
      <c r="U3560" s="64">
        <f t="shared" si="334"/>
        <v>42.058159722218988</v>
      </c>
      <c r="V3560" s="13" t="str">
        <f t="shared" si="335"/>
        <v>funded</v>
      </c>
    </row>
    <row r="3561" spans="1:22" ht="48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8314</v>
      </c>
      <c r="R3561" t="s">
        <v>8315</v>
      </c>
      <c r="S3561" s="14">
        <f t="shared" si="332"/>
        <v>42194.096157407403</v>
      </c>
      <c r="T3561" s="14">
        <f t="shared" si="333"/>
        <v>42216.373611111107</v>
      </c>
      <c r="U3561" s="64">
        <f t="shared" si="334"/>
        <v>22.277453703703941</v>
      </c>
      <c r="V3561" s="13" t="str">
        <f t="shared" si="335"/>
        <v>funded</v>
      </c>
    </row>
    <row r="3562" spans="1:22" ht="48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8314</v>
      </c>
      <c r="R3562" t="s">
        <v>8315</v>
      </c>
      <c r="S3562" s="14">
        <f t="shared" si="332"/>
        <v>42115.889652777783</v>
      </c>
      <c r="T3562" s="14">
        <f t="shared" si="333"/>
        <v>42151.114583333328</v>
      </c>
      <c r="U3562" s="64">
        <f t="shared" si="334"/>
        <v>35.224930555545143</v>
      </c>
      <c r="V3562" s="13" t="str">
        <f t="shared" si="335"/>
        <v>funded</v>
      </c>
    </row>
    <row r="3563" spans="1:22" ht="11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8314</v>
      </c>
      <c r="R3563" t="s">
        <v>8315</v>
      </c>
      <c r="S3563" s="14">
        <f t="shared" si="332"/>
        <v>42203.680300925931</v>
      </c>
      <c r="T3563" s="14">
        <f t="shared" si="333"/>
        <v>42221.774999999994</v>
      </c>
      <c r="U3563" s="64">
        <f t="shared" si="334"/>
        <v>18.094699074063101</v>
      </c>
      <c r="V3563" s="13" t="str">
        <f t="shared" si="335"/>
        <v>funded</v>
      </c>
    </row>
    <row r="3564" spans="1:22" ht="48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8314</v>
      </c>
      <c r="R3564" t="s">
        <v>8315</v>
      </c>
      <c r="S3564" s="14">
        <f t="shared" si="332"/>
        <v>42433.761886574073</v>
      </c>
      <c r="T3564" s="14">
        <f t="shared" si="333"/>
        <v>42442.916666666672</v>
      </c>
      <c r="U3564" s="64">
        <f t="shared" si="334"/>
        <v>9.1547800925982301</v>
      </c>
      <c r="V3564" s="13" t="str">
        <f t="shared" si="335"/>
        <v>funded</v>
      </c>
    </row>
    <row r="3565" spans="1:22" ht="48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8314</v>
      </c>
      <c r="R3565" t="s">
        <v>8315</v>
      </c>
      <c r="S3565" s="14">
        <f t="shared" si="332"/>
        <v>42555.671944444446</v>
      </c>
      <c r="T3565" s="14">
        <f t="shared" si="333"/>
        <v>42583.791666666672</v>
      </c>
      <c r="U3565" s="64">
        <f t="shared" si="334"/>
        <v>28.119722222225391</v>
      </c>
      <c r="V3565" s="13" t="str">
        <f t="shared" si="335"/>
        <v>funded</v>
      </c>
    </row>
    <row r="3566" spans="1:22" ht="3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8314</v>
      </c>
      <c r="R3566" t="s">
        <v>8315</v>
      </c>
      <c r="S3566" s="14">
        <f t="shared" si="332"/>
        <v>42236.623252314821</v>
      </c>
      <c r="T3566" s="14">
        <f t="shared" si="333"/>
        <v>42282.666666666672</v>
      </c>
      <c r="U3566" s="64">
        <f t="shared" si="334"/>
        <v>46.043414351850515</v>
      </c>
      <c r="V3566" s="13" t="str">
        <f t="shared" si="335"/>
        <v>funded</v>
      </c>
    </row>
    <row r="3567" spans="1:22" ht="48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8314</v>
      </c>
      <c r="R3567" t="s">
        <v>8315</v>
      </c>
      <c r="S3567" s="14">
        <f t="shared" si="332"/>
        <v>41974.743148148147</v>
      </c>
      <c r="T3567" s="14">
        <f t="shared" si="333"/>
        <v>42004.743148148147</v>
      </c>
      <c r="U3567" s="64">
        <f t="shared" si="334"/>
        <v>30</v>
      </c>
      <c r="V3567" s="13" t="str">
        <f t="shared" si="335"/>
        <v>funded</v>
      </c>
    </row>
    <row r="3568" spans="1:22" ht="48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8314</v>
      </c>
      <c r="R3568" t="s">
        <v>8315</v>
      </c>
      <c r="S3568" s="14">
        <f t="shared" si="332"/>
        <v>41997.507905092592</v>
      </c>
      <c r="T3568" s="14">
        <f t="shared" si="333"/>
        <v>42027.507905092592</v>
      </c>
      <c r="U3568" s="64">
        <f t="shared" si="334"/>
        <v>30</v>
      </c>
      <c r="V3568" s="13" t="str">
        <f t="shared" si="335"/>
        <v>funded</v>
      </c>
    </row>
    <row r="3569" spans="1:22" ht="48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8314</v>
      </c>
      <c r="R3569" t="s">
        <v>8315</v>
      </c>
      <c r="S3569" s="14">
        <f t="shared" si="332"/>
        <v>42135.810694444444</v>
      </c>
      <c r="T3569" s="14">
        <f t="shared" si="333"/>
        <v>42165.810694444444</v>
      </c>
      <c r="U3569" s="64">
        <f t="shared" si="334"/>
        <v>30</v>
      </c>
      <c r="V3569" s="13" t="str">
        <f t="shared" si="335"/>
        <v>funded</v>
      </c>
    </row>
    <row r="3570" spans="1:22" ht="48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8314</v>
      </c>
      <c r="R3570" t="s">
        <v>8315</v>
      </c>
      <c r="S3570" s="14">
        <f t="shared" si="332"/>
        <v>41869.740671296298</v>
      </c>
      <c r="T3570" s="14">
        <f t="shared" si="333"/>
        <v>41899.740671296298</v>
      </c>
      <c r="U3570" s="64">
        <f t="shared" si="334"/>
        <v>30</v>
      </c>
      <c r="V3570" s="13" t="str">
        <f t="shared" si="335"/>
        <v>funded</v>
      </c>
    </row>
    <row r="3571" spans="1:22" ht="48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8314</v>
      </c>
      <c r="R3571" t="s">
        <v>8315</v>
      </c>
      <c r="S3571" s="14">
        <f t="shared" si="332"/>
        <v>41982.688611111109</v>
      </c>
      <c r="T3571" s="14">
        <f t="shared" si="333"/>
        <v>42012.688611111109</v>
      </c>
      <c r="U3571" s="64">
        <f t="shared" si="334"/>
        <v>30</v>
      </c>
      <c r="V3571" s="13" t="str">
        <f t="shared" si="335"/>
        <v>funded</v>
      </c>
    </row>
    <row r="3572" spans="1:22" ht="48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8314</v>
      </c>
      <c r="R3572" t="s">
        <v>8315</v>
      </c>
      <c r="S3572" s="14">
        <f t="shared" si="332"/>
        <v>41976.331979166673</v>
      </c>
      <c r="T3572" s="14">
        <f t="shared" si="333"/>
        <v>42004.291666666672</v>
      </c>
      <c r="U3572" s="64">
        <f t="shared" si="334"/>
        <v>27.959687499998836</v>
      </c>
      <c r="V3572" s="13" t="str">
        <f t="shared" si="335"/>
        <v>funded</v>
      </c>
    </row>
    <row r="3573" spans="1:22" ht="48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8314</v>
      </c>
      <c r="R3573" t="s">
        <v>8315</v>
      </c>
      <c r="S3573" s="14">
        <f t="shared" si="332"/>
        <v>41912.858946759261</v>
      </c>
      <c r="T3573" s="14">
        <f t="shared" si="333"/>
        <v>41942.858946759261</v>
      </c>
      <c r="U3573" s="64">
        <f t="shared" si="334"/>
        <v>30</v>
      </c>
      <c r="V3573" s="13" t="str">
        <f t="shared" si="335"/>
        <v>funded</v>
      </c>
    </row>
    <row r="3574" spans="1:22" ht="3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8314</v>
      </c>
      <c r="R3574" t="s">
        <v>8315</v>
      </c>
      <c r="S3574" s="14">
        <f t="shared" si="332"/>
        <v>42146.570393518516</v>
      </c>
      <c r="T3574" s="14">
        <f t="shared" si="333"/>
        <v>42176.570393518516</v>
      </c>
      <c r="U3574" s="64">
        <f t="shared" si="334"/>
        <v>30</v>
      </c>
      <c r="V3574" s="13" t="str">
        <f t="shared" si="335"/>
        <v>funded</v>
      </c>
    </row>
    <row r="3575" spans="1:22" ht="3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8314</v>
      </c>
      <c r="R3575" t="s">
        <v>8315</v>
      </c>
      <c r="S3575" s="14">
        <f t="shared" si="332"/>
        <v>41921.375532407408</v>
      </c>
      <c r="T3575" s="14">
        <f t="shared" si="333"/>
        <v>41951.417199074072</v>
      </c>
      <c r="U3575" s="64">
        <f t="shared" si="334"/>
        <v>30.041666666664241</v>
      </c>
      <c r="V3575" s="13" t="str">
        <f t="shared" si="335"/>
        <v>funded</v>
      </c>
    </row>
    <row r="3576" spans="1:22" ht="48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8314</v>
      </c>
      <c r="R3576" t="s">
        <v>8315</v>
      </c>
      <c r="S3576" s="14">
        <f t="shared" si="332"/>
        <v>41926.942685185182</v>
      </c>
      <c r="T3576" s="14">
        <f t="shared" si="333"/>
        <v>41956.984351851846</v>
      </c>
      <c r="U3576" s="64">
        <f t="shared" si="334"/>
        <v>30.041666666664241</v>
      </c>
      <c r="V3576" s="13" t="str">
        <f t="shared" si="335"/>
        <v>funded</v>
      </c>
    </row>
    <row r="3577" spans="1:22" ht="48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8314</v>
      </c>
      <c r="R3577" t="s">
        <v>8315</v>
      </c>
      <c r="S3577" s="14">
        <f t="shared" si="332"/>
        <v>42561.783877314811</v>
      </c>
      <c r="T3577" s="14">
        <f t="shared" si="333"/>
        <v>42593.165972222225</v>
      </c>
      <c r="U3577" s="64">
        <f t="shared" si="334"/>
        <v>31.382094907414285</v>
      </c>
      <c r="V3577" s="13" t="str">
        <f t="shared" si="335"/>
        <v>funded</v>
      </c>
    </row>
    <row r="3578" spans="1:22" ht="48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8314</v>
      </c>
      <c r="R3578" t="s">
        <v>8315</v>
      </c>
      <c r="S3578" s="14">
        <f t="shared" si="332"/>
        <v>42649.54923611111</v>
      </c>
      <c r="T3578" s="14">
        <f t="shared" si="333"/>
        <v>42709.590902777782</v>
      </c>
      <c r="U3578" s="64">
        <f t="shared" si="334"/>
        <v>60.041666666671517</v>
      </c>
      <c r="V3578" s="13" t="str">
        <f t="shared" si="335"/>
        <v>funded</v>
      </c>
    </row>
    <row r="3579" spans="1:22" ht="48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8314</v>
      </c>
      <c r="R3579" t="s">
        <v>8315</v>
      </c>
      <c r="S3579" s="14">
        <f t="shared" si="332"/>
        <v>42093.786840277782</v>
      </c>
      <c r="T3579" s="14">
        <f t="shared" si="333"/>
        <v>42120.26944444445</v>
      </c>
      <c r="U3579" s="64">
        <f t="shared" si="334"/>
        <v>26.482604166667443</v>
      </c>
      <c r="V3579" s="13" t="str">
        <f t="shared" si="335"/>
        <v>funded</v>
      </c>
    </row>
    <row r="3580" spans="1:22" ht="48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8314</v>
      </c>
      <c r="R3580" t="s">
        <v>8315</v>
      </c>
      <c r="S3580" s="14">
        <f t="shared" si="332"/>
        <v>42460.733530092592</v>
      </c>
      <c r="T3580" s="14">
        <f t="shared" si="333"/>
        <v>42490.733530092592</v>
      </c>
      <c r="U3580" s="64">
        <f t="shared" si="334"/>
        <v>30</v>
      </c>
      <c r="V3580" s="13" t="str">
        <f t="shared" si="335"/>
        <v>funded</v>
      </c>
    </row>
    <row r="3581" spans="1:22" ht="48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8314</v>
      </c>
      <c r="R3581" t="s">
        <v>8315</v>
      </c>
      <c r="S3581" s="14">
        <f t="shared" si="332"/>
        <v>42430.762222222227</v>
      </c>
      <c r="T3581" s="14">
        <f t="shared" si="333"/>
        <v>42460.720555555556</v>
      </c>
      <c r="U3581" s="64">
        <f t="shared" si="334"/>
        <v>29.958333333328483</v>
      </c>
      <c r="V3581" s="13" t="str">
        <f t="shared" si="335"/>
        <v>funded</v>
      </c>
    </row>
    <row r="3582" spans="1:22" ht="48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8314</v>
      </c>
      <c r="R3582" t="s">
        <v>8315</v>
      </c>
      <c r="S3582" s="14">
        <f t="shared" si="332"/>
        <v>42026.176180555558</v>
      </c>
      <c r="T3582" s="14">
        <f t="shared" si="333"/>
        <v>42064.207638888889</v>
      </c>
      <c r="U3582" s="64">
        <f t="shared" si="334"/>
        <v>38.031458333331102</v>
      </c>
      <c r="V3582" s="13" t="str">
        <f t="shared" si="335"/>
        <v>funded</v>
      </c>
    </row>
    <row r="3583" spans="1:22" ht="48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8314</v>
      </c>
      <c r="R3583" t="s">
        <v>8315</v>
      </c>
      <c r="S3583" s="14">
        <f t="shared" si="332"/>
        <v>41836.471180555556</v>
      </c>
      <c r="T3583" s="14">
        <f t="shared" si="333"/>
        <v>41850.471180555556</v>
      </c>
      <c r="U3583" s="64">
        <f t="shared" si="334"/>
        <v>14</v>
      </c>
      <c r="V3583" s="13" t="str">
        <f t="shared" si="335"/>
        <v>funded</v>
      </c>
    </row>
    <row r="3584" spans="1:22" ht="48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8314</v>
      </c>
      <c r="R3584" t="s">
        <v>8315</v>
      </c>
      <c r="S3584" s="14">
        <f t="shared" si="332"/>
        <v>42451.095856481479</v>
      </c>
      <c r="T3584" s="14">
        <f t="shared" si="333"/>
        <v>42465.095856481479</v>
      </c>
      <c r="U3584" s="64">
        <f t="shared" si="334"/>
        <v>14</v>
      </c>
      <c r="V3584" s="13" t="str">
        <f t="shared" si="335"/>
        <v>funded</v>
      </c>
    </row>
    <row r="3585" spans="1:22" ht="48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8314</v>
      </c>
      <c r="R3585" t="s">
        <v>8315</v>
      </c>
      <c r="S3585" s="14">
        <f t="shared" si="332"/>
        <v>42418.425983796296</v>
      </c>
      <c r="T3585" s="14">
        <f t="shared" si="333"/>
        <v>42478.384317129632</v>
      </c>
      <c r="U3585" s="64">
        <f t="shared" si="334"/>
        <v>59.958333333335759</v>
      </c>
      <c r="V3585" s="13" t="str">
        <f t="shared" si="335"/>
        <v>funded</v>
      </c>
    </row>
    <row r="3586" spans="1:22" ht="96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116</v>
      </c>
      <c r="P3586">
        <f t="shared" si="331"/>
        <v>30.94</v>
      </c>
      <c r="Q3586" s="10" t="s">
        <v>8314</v>
      </c>
      <c r="R3586" t="s">
        <v>8315</v>
      </c>
      <c r="S3586" s="14">
        <f t="shared" si="332"/>
        <v>42168.316481481481</v>
      </c>
      <c r="T3586" s="14">
        <f t="shared" si="333"/>
        <v>42198.316481481481</v>
      </c>
      <c r="U3586" s="64">
        <f t="shared" si="334"/>
        <v>30</v>
      </c>
      <c r="V3586" s="13" t="str">
        <f t="shared" si="335"/>
        <v>funded</v>
      </c>
    </row>
    <row r="3587" spans="1:22" ht="48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>ROUND(E3587/D3587*100,0)</f>
        <v>119</v>
      </c>
      <c r="P3587">
        <f t="shared" ref="P3587:P3650" si="337">IFERROR(ROUND(E3587/L3587,2), 0)</f>
        <v>176.09</v>
      </c>
      <c r="Q3587" s="10" t="s">
        <v>8314</v>
      </c>
      <c r="R3587" t="s">
        <v>8315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 s="64">
        <f t="shared" ref="U3587:V3650" si="340">T3587-S3587</f>
        <v>30</v>
      </c>
      <c r="V3587" s="13" t="str">
        <f t="shared" ref="V3587:V3650" si="341">IF(E3587&gt;=D3587, "funded", "underfunded")</f>
        <v>funded</v>
      </c>
    </row>
    <row r="3588" spans="1:22" ht="16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8314</v>
      </c>
      <c r="R3588" t="s">
        <v>8315</v>
      </c>
      <c r="S3588" s="14">
        <f t="shared" si="338"/>
        <v>42576.697569444441</v>
      </c>
      <c r="T3588" s="14">
        <f t="shared" si="339"/>
        <v>42636.697569444441</v>
      </c>
      <c r="U3588" s="64">
        <f t="shared" si="340"/>
        <v>60</v>
      </c>
      <c r="V3588" s="13" t="str">
        <f t="shared" si="341"/>
        <v>funded</v>
      </c>
    </row>
    <row r="3589" spans="1:22" ht="48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8314</v>
      </c>
      <c r="R3589" t="s">
        <v>8315</v>
      </c>
      <c r="S3589" s="14">
        <f t="shared" si="338"/>
        <v>42503.539976851855</v>
      </c>
      <c r="T3589" s="14">
        <f t="shared" si="339"/>
        <v>42548.791666666672</v>
      </c>
      <c r="U3589" s="64">
        <f t="shared" si="340"/>
        <v>45.251689814816928</v>
      </c>
      <c r="V3589" s="13" t="str">
        <f t="shared" si="341"/>
        <v>funded</v>
      </c>
    </row>
    <row r="3590" spans="1:22" ht="48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8314</v>
      </c>
      <c r="R3590" t="s">
        <v>8315</v>
      </c>
      <c r="S3590" s="14">
        <f t="shared" si="338"/>
        <v>42101.828819444447</v>
      </c>
      <c r="T3590" s="14">
        <f t="shared" si="339"/>
        <v>42123.958333333328</v>
      </c>
      <c r="U3590" s="64">
        <f t="shared" si="340"/>
        <v>22.129513888881775</v>
      </c>
      <c r="V3590" s="13" t="str">
        <f t="shared" si="341"/>
        <v>funded</v>
      </c>
    </row>
    <row r="3591" spans="1:22" ht="48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8314</v>
      </c>
      <c r="R3591" t="s">
        <v>8315</v>
      </c>
      <c r="S3591" s="14">
        <f t="shared" si="338"/>
        <v>42125.647534722222</v>
      </c>
      <c r="T3591" s="14">
        <f t="shared" si="339"/>
        <v>42150.647534722222</v>
      </c>
      <c r="U3591" s="64">
        <f t="shared" si="340"/>
        <v>25</v>
      </c>
      <c r="V3591" s="13" t="str">
        <f t="shared" si="341"/>
        <v>funded</v>
      </c>
    </row>
    <row r="3592" spans="1:22" ht="48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8314</v>
      </c>
      <c r="R3592" t="s">
        <v>8315</v>
      </c>
      <c r="S3592" s="14">
        <f t="shared" si="338"/>
        <v>41902.333726851852</v>
      </c>
      <c r="T3592" s="14">
        <f t="shared" si="339"/>
        <v>41932.333726851852</v>
      </c>
      <c r="U3592" s="64">
        <f t="shared" si="340"/>
        <v>30</v>
      </c>
      <c r="V3592" s="13" t="str">
        <f t="shared" si="341"/>
        <v>funded</v>
      </c>
    </row>
    <row r="3593" spans="1:22" ht="48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8314</v>
      </c>
      <c r="R3593" t="s">
        <v>8315</v>
      </c>
      <c r="S3593" s="14">
        <f t="shared" si="338"/>
        <v>42003.948425925926</v>
      </c>
      <c r="T3593" s="14">
        <f t="shared" si="339"/>
        <v>42028.207638888889</v>
      </c>
      <c r="U3593" s="64">
        <f t="shared" si="340"/>
        <v>24.25921296296292</v>
      </c>
      <c r="V3593" s="13" t="str">
        <f t="shared" si="341"/>
        <v>funded</v>
      </c>
    </row>
    <row r="3594" spans="1:22" ht="48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8314</v>
      </c>
      <c r="R3594" t="s">
        <v>8315</v>
      </c>
      <c r="S3594" s="14">
        <f t="shared" si="338"/>
        <v>41988.829942129625</v>
      </c>
      <c r="T3594" s="14">
        <f t="shared" si="339"/>
        <v>42046.207638888889</v>
      </c>
      <c r="U3594" s="64">
        <f t="shared" si="340"/>
        <v>57.377696759263927</v>
      </c>
      <c r="V3594" s="13" t="str">
        <f t="shared" si="341"/>
        <v>funded</v>
      </c>
    </row>
    <row r="3595" spans="1:22" ht="48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8314</v>
      </c>
      <c r="R3595" t="s">
        <v>8315</v>
      </c>
      <c r="S3595" s="14">
        <f t="shared" si="338"/>
        <v>41974.898599537039</v>
      </c>
      <c r="T3595" s="14">
        <f t="shared" si="339"/>
        <v>42009.851388888885</v>
      </c>
      <c r="U3595" s="64">
        <f t="shared" si="340"/>
        <v>34.95278935184615</v>
      </c>
      <c r="V3595" s="13" t="str">
        <f t="shared" si="341"/>
        <v>funded</v>
      </c>
    </row>
    <row r="3596" spans="1:22" ht="48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8314</v>
      </c>
      <c r="R3596" t="s">
        <v>8315</v>
      </c>
      <c r="S3596" s="14">
        <f t="shared" si="338"/>
        <v>42592.066921296297</v>
      </c>
      <c r="T3596" s="14">
        <f t="shared" si="339"/>
        <v>42617.066921296297</v>
      </c>
      <c r="U3596" s="64">
        <f t="shared" si="340"/>
        <v>25</v>
      </c>
      <c r="V3596" s="13" t="str">
        <f t="shared" si="341"/>
        <v>funded</v>
      </c>
    </row>
    <row r="3597" spans="1:22" ht="3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8314</v>
      </c>
      <c r="R3597" t="s">
        <v>8315</v>
      </c>
      <c r="S3597" s="14">
        <f t="shared" si="338"/>
        <v>42050.008368055554</v>
      </c>
      <c r="T3597" s="14">
        <f t="shared" si="339"/>
        <v>42076.290972222225</v>
      </c>
      <c r="U3597" s="64">
        <f t="shared" si="340"/>
        <v>26.282604166670353</v>
      </c>
      <c r="V3597" s="13" t="str">
        <f t="shared" si="341"/>
        <v>funded</v>
      </c>
    </row>
    <row r="3598" spans="1:22" ht="48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8314</v>
      </c>
      <c r="R3598" t="s">
        <v>8315</v>
      </c>
      <c r="S3598" s="14">
        <f t="shared" si="338"/>
        <v>41856.715069444443</v>
      </c>
      <c r="T3598" s="14">
        <f t="shared" si="339"/>
        <v>41877.715069444443</v>
      </c>
      <c r="U3598" s="64">
        <f t="shared" si="340"/>
        <v>21</v>
      </c>
      <c r="V3598" s="13" t="str">
        <f t="shared" si="341"/>
        <v>funded</v>
      </c>
    </row>
    <row r="3599" spans="1:22" ht="3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8314</v>
      </c>
      <c r="R3599" t="s">
        <v>8315</v>
      </c>
      <c r="S3599" s="14">
        <f t="shared" si="338"/>
        <v>42417.585532407407</v>
      </c>
      <c r="T3599" s="14">
        <f t="shared" si="339"/>
        <v>42432.249305555553</v>
      </c>
      <c r="U3599" s="64">
        <f t="shared" si="340"/>
        <v>14.663773148145992</v>
      </c>
      <c r="V3599" s="13" t="str">
        <f t="shared" si="341"/>
        <v>funded</v>
      </c>
    </row>
    <row r="3600" spans="1:22" ht="48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8314</v>
      </c>
      <c r="R3600" t="s">
        <v>8315</v>
      </c>
      <c r="S3600" s="14">
        <f t="shared" si="338"/>
        <v>41866.79886574074</v>
      </c>
      <c r="T3600" s="14">
        <f t="shared" si="339"/>
        <v>41885.207638888889</v>
      </c>
      <c r="U3600" s="64">
        <f t="shared" si="340"/>
        <v>18.408773148148612</v>
      </c>
      <c r="V3600" s="13" t="str">
        <f t="shared" si="341"/>
        <v>funded</v>
      </c>
    </row>
    <row r="3601" spans="1:22" ht="48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8314</v>
      </c>
      <c r="R3601" t="s">
        <v>8315</v>
      </c>
      <c r="S3601" s="14">
        <f t="shared" si="338"/>
        <v>42220.79487268519</v>
      </c>
      <c r="T3601" s="14">
        <f t="shared" si="339"/>
        <v>42246</v>
      </c>
      <c r="U3601" s="64">
        <f t="shared" si="340"/>
        <v>25.205127314809943</v>
      </c>
      <c r="V3601" s="13" t="str">
        <f t="shared" si="341"/>
        <v>funded</v>
      </c>
    </row>
    <row r="3602" spans="1:22" ht="3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8314</v>
      </c>
      <c r="R3602" t="s">
        <v>8315</v>
      </c>
      <c r="S3602" s="14">
        <f t="shared" si="338"/>
        <v>42628.849120370374</v>
      </c>
      <c r="T3602" s="14">
        <f t="shared" si="339"/>
        <v>42656.849120370374</v>
      </c>
      <c r="U3602" s="64">
        <f t="shared" si="340"/>
        <v>28</v>
      </c>
      <c r="V3602" s="13" t="str">
        <f t="shared" si="341"/>
        <v>funded</v>
      </c>
    </row>
    <row r="3603" spans="1:22" ht="48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8314</v>
      </c>
      <c r="R3603" t="s">
        <v>8315</v>
      </c>
      <c r="S3603" s="14">
        <f t="shared" si="338"/>
        <v>41990.99863425926</v>
      </c>
      <c r="T3603" s="14">
        <f t="shared" si="339"/>
        <v>42020.99863425926</v>
      </c>
      <c r="U3603" s="64">
        <f t="shared" si="340"/>
        <v>30</v>
      </c>
      <c r="V3603" s="13" t="str">
        <f t="shared" si="341"/>
        <v>funded</v>
      </c>
    </row>
    <row r="3604" spans="1:22" ht="48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8314</v>
      </c>
      <c r="R3604" t="s">
        <v>8315</v>
      </c>
      <c r="S3604" s="14">
        <f t="shared" si="338"/>
        <v>42447.894432870366</v>
      </c>
      <c r="T3604" s="14">
        <f t="shared" si="339"/>
        <v>42507.894432870366</v>
      </c>
      <c r="U3604" s="64">
        <f t="shared" si="340"/>
        <v>60</v>
      </c>
      <c r="V3604" s="13" t="str">
        <f t="shared" si="341"/>
        <v>funded</v>
      </c>
    </row>
    <row r="3605" spans="1:22" ht="48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8314</v>
      </c>
      <c r="R3605" t="s">
        <v>8315</v>
      </c>
      <c r="S3605" s="14">
        <f t="shared" si="338"/>
        <v>42283.864351851851</v>
      </c>
      <c r="T3605" s="14">
        <f t="shared" si="339"/>
        <v>42313.906018518523</v>
      </c>
      <c r="U3605" s="64">
        <f t="shared" si="340"/>
        <v>30.041666666671517</v>
      </c>
      <c r="V3605" s="13" t="str">
        <f t="shared" si="341"/>
        <v>funded</v>
      </c>
    </row>
    <row r="3606" spans="1:22" ht="48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8314</v>
      </c>
      <c r="R3606" t="s">
        <v>8315</v>
      </c>
      <c r="S3606" s="14">
        <f t="shared" si="338"/>
        <v>42483.015694444446</v>
      </c>
      <c r="T3606" s="14">
        <f t="shared" si="339"/>
        <v>42489.290972222225</v>
      </c>
      <c r="U3606" s="64">
        <f t="shared" si="340"/>
        <v>6.2752777777786832</v>
      </c>
      <c r="V3606" s="13" t="str">
        <f t="shared" si="341"/>
        <v>funded</v>
      </c>
    </row>
    <row r="3607" spans="1:22" ht="48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8314</v>
      </c>
      <c r="R3607" t="s">
        <v>8315</v>
      </c>
      <c r="S3607" s="14">
        <f t="shared" si="338"/>
        <v>42383.793124999997</v>
      </c>
      <c r="T3607" s="14">
        <f t="shared" si="339"/>
        <v>42413.793124999997</v>
      </c>
      <c r="U3607" s="64">
        <f t="shared" si="340"/>
        <v>30</v>
      </c>
      <c r="V3607" s="13" t="str">
        <f t="shared" si="341"/>
        <v>funded</v>
      </c>
    </row>
    <row r="3608" spans="1:22" ht="48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8314</v>
      </c>
      <c r="R3608" t="s">
        <v>8315</v>
      </c>
      <c r="S3608" s="14">
        <f t="shared" si="338"/>
        <v>42566.604826388888</v>
      </c>
      <c r="T3608" s="14">
        <f t="shared" si="339"/>
        <v>42596.604826388888</v>
      </c>
      <c r="U3608" s="64">
        <f t="shared" si="340"/>
        <v>30</v>
      </c>
      <c r="V3608" s="13" t="str">
        <f t="shared" si="341"/>
        <v>funded</v>
      </c>
    </row>
    <row r="3609" spans="1:22" ht="3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8314</v>
      </c>
      <c r="R3609" t="s">
        <v>8315</v>
      </c>
      <c r="S3609" s="14">
        <f t="shared" si="338"/>
        <v>42338.963912037041</v>
      </c>
      <c r="T3609" s="14">
        <f t="shared" si="339"/>
        <v>42353</v>
      </c>
      <c r="U3609" s="64">
        <f t="shared" si="340"/>
        <v>14.036087962958845</v>
      </c>
      <c r="V3609" s="13" t="str">
        <f t="shared" si="341"/>
        <v>funded</v>
      </c>
    </row>
    <row r="3610" spans="1:22" ht="48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8314</v>
      </c>
      <c r="R3610" t="s">
        <v>8315</v>
      </c>
      <c r="S3610" s="14">
        <f t="shared" si="338"/>
        <v>42506.709375000006</v>
      </c>
      <c r="T3610" s="14">
        <f t="shared" si="339"/>
        <v>42538.583333333328</v>
      </c>
      <c r="U3610" s="64">
        <f t="shared" si="340"/>
        <v>31.873958333322662</v>
      </c>
      <c r="V3610" s="13" t="str">
        <f t="shared" si="341"/>
        <v>funded</v>
      </c>
    </row>
    <row r="3611" spans="1:22" ht="48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8314</v>
      </c>
      <c r="R3611" t="s">
        <v>8315</v>
      </c>
      <c r="S3611" s="14">
        <f t="shared" si="338"/>
        <v>42429.991724537031</v>
      </c>
      <c r="T3611" s="14">
        <f t="shared" si="339"/>
        <v>42459.950057870374</v>
      </c>
      <c r="U3611" s="64">
        <f t="shared" si="340"/>
        <v>29.958333333343035</v>
      </c>
      <c r="V3611" s="13" t="str">
        <f t="shared" si="341"/>
        <v>funded</v>
      </c>
    </row>
    <row r="3612" spans="1:22" ht="48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8314</v>
      </c>
      <c r="R3612" t="s">
        <v>8315</v>
      </c>
      <c r="S3612" s="14">
        <f t="shared" si="338"/>
        <v>42203.432129629626</v>
      </c>
      <c r="T3612" s="14">
        <f t="shared" si="339"/>
        <v>42233.432129629626</v>
      </c>
      <c r="U3612" s="64">
        <f t="shared" si="340"/>
        <v>30</v>
      </c>
      <c r="V3612" s="13" t="str">
        <f t="shared" si="341"/>
        <v>funded</v>
      </c>
    </row>
    <row r="3613" spans="1:22" ht="48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8314</v>
      </c>
      <c r="R3613" t="s">
        <v>8315</v>
      </c>
      <c r="S3613" s="14">
        <f t="shared" si="338"/>
        <v>42072.370381944449</v>
      </c>
      <c r="T3613" s="14">
        <f t="shared" si="339"/>
        <v>42102.370381944449</v>
      </c>
      <c r="U3613" s="64">
        <f t="shared" si="340"/>
        <v>30</v>
      </c>
      <c r="V3613" s="13" t="str">
        <f t="shared" si="341"/>
        <v>funded</v>
      </c>
    </row>
    <row r="3614" spans="1:22" ht="48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8314</v>
      </c>
      <c r="R3614" t="s">
        <v>8315</v>
      </c>
      <c r="S3614" s="14">
        <f t="shared" si="338"/>
        <v>41789.726979166669</v>
      </c>
      <c r="T3614" s="14">
        <f t="shared" si="339"/>
        <v>41799.726979166669</v>
      </c>
      <c r="U3614" s="64">
        <f t="shared" si="340"/>
        <v>10</v>
      </c>
      <c r="V3614" s="13" t="str">
        <f t="shared" si="341"/>
        <v>funded</v>
      </c>
    </row>
    <row r="3615" spans="1:22" ht="3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8314</v>
      </c>
      <c r="R3615" t="s">
        <v>8315</v>
      </c>
      <c r="S3615" s="14">
        <f t="shared" si="338"/>
        <v>41788.58997685185</v>
      </c>
      <c r="T3615" s="14">
        <f t="shared" si="339"/>
        <v>41818.58997685185</v>
      </c>
      <c r="U3615" s="64">
        <f t="shared" si="340"/>
        <v>30</v>
      </c>
      <c r="V3615" s="13" t="str">
        <f t="shared" si="341"/>
        <v>funded</v>
      </c>
    </row>
    <row r="3616" spans="1:22" ht="48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8314</v>
      </c>
      <c r="R3616" t="s">
        <v>8315</v>
      </c>
      <c r="S3616" s="14">
        <f t="shared" si="338"/>
        <v>42144.041851851856</v>
      </c>
      <c r="T3616" s="14">
        <f t="shared" si="339"/>
        <v>42174.041851851856</v>
      </c>
      <c r="U3616" s="64">
        <f t="shared" si="340"/>
        <v>30</v>
      </c>
      <c r="V3616" s="13" t="str">
        <f t="shared" si="341"/>
        <v>funded</v>
      </c>
    </row>
    <row r="3617" spans="1:22" ht="48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8314</v>
      </c>
      <c r="R3617" t="s">
        <v>8315</v>
      </c>
      <c r="S3617" s="14">
        <f t="shared" si="338"/>
        <v>42318.593703703707</v>
      </c>
      <c r="T3617" s="14">
        <f t="shared" si="339"/>
        <v>42348.593703703707</v>
      </c>
      <c r="U3617" s="64">
        <f t="shared" si="340"/>
        <v>30</v>
      </c>
      <c r="V3617" s="13" t="str">
        <f t="shared" si="341"/>
        <v>funded</v>
      </c>
    </row>
    <row r="3618" spans="1:22" ht="48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8314</v>
      </c>
      <c r="R3618" t="s">
        <v>8315</v>
      </c>
      <c r="S3618" s="14">
        <f t="shared" si="338"/>
        <v>42052.949814814812</v>
      </c>
      <c r="T3618" s="14">
        <f t="shared" si="339"/>
        <v>42082.908148148148</v>
      </c>
      <c r="U3618" s="64">
        <f t="shared" si="340"/>
        <v>29.958333333335759</v>
      </c>
      <c r="V3618" s="13" t="str">
        <f t="shared" si="341"/>
        <v>funded</v>
      </c>
    </row>
    <row r="3619" spans="1:22" ht="48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8314</v>
      </c>
      <c r="R3619" t="s">
        <v>8315</v>
      </c>
      <c r="S3619" s="14">
        <f t="shared" si="338"/>
        <v>42779.610289351855</v>
      </c>
      <c r="T3619" s="14">
        <f t="shared" si="339"/>
        <v>42794</v>
      </c>
      <c r="U3619" s="64">
        <f t="shared" si="340"/>
        <v>14.38971064814541</v>
      </c>
      <c r="V3619" s="13" t="str">
        <f t="shared" si="341"/>
        <v>funded</v>
      </c>
    </row>
    <row r="3620" spans="1:22" ht="48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8314</v>
      </c>
      <c r="R3620" t="s">
        <v>8315</v>
      </c>
      <c r="S3620" s="14">
        <f t="shared" si="338"/>
        <v>42128.627893518518</v>
      </c>
      <c r="T3620" s="14">
        <f t="shared" si="339"/>
        <v>42158.627893518518</v>
      </c>
      <c r="U3620" s="64">
        <f t="shared" si="340"/>
        <v>30</v>
      </c>
      <c r="V3620" s="13" t="str">
        <f t="shared" si="341"/>
        <v>funded</v>
      </c>
    </row>
    <row r="3621" spans="1:22" ht="48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8314</v>
      </c>
      <c r="R3621" t="s">
        <v>8315</v>
      </c>
      <c r="S3621" s="14">
        <f t="shared" si="338"/>
        <v>42661.132245370376</v>
      </c>
      <c r="T3621" s="14">
        <f t="shared" si="339"/>
        <v>42693.916666666672</v>
      </c>
      <c r="U3621" s="64">
        <f t="shared" si="340"/>
        <v>32.784421296295477</v>
      </c>
      <c r="V3621" s="13" t="str">
        <f t="shared" si="341"/>
        <v>funded</v>
      </c>
    </row>
    <row r="3622" spans="1:22" ht="48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8314</v>
      </c>
      <c r="R3622" t="s">
        <v>8315</v>
      </c>
      <c r="S3622" s="14">
        <f t="shared" si="338"/>
        <v>42037.938206018516</v>
      </c>
      <c r="T3622" s="14">
        <f t="shared" si="339"/>
        <v>42068.166666666672</v>
      </c>
      <c r="U3622" s="64">
        <f t="shared" si="340"/>
        <v>30.228460648155306</v>
      </c>
      <c r="V3622" s="13" t="str">
        <f t="shared" si="341"/>
        <v>funded</v>
      </c>
    </row>
    <row r="3623" spans="1:22" ht="48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8314</v>
      </c>
      <c r="R3623" t="s">
        <v>8315</v>
      </c>
      <c r="S3623" s="14">
        <f t="shared" si="338"/>
        <v>42619.935694444444</v>
      </c>
      <c r="T3623" s="14">
        <f t="shared" si="339"/>
        <v>42643.875</v>
      </c>
      <c r="U3623" s="64">
        <f t="shared" si="340"/>
        <v>23.93930555555562</v>
      </c>
      <c r="V3623" s="13" t="str">
        <f t="shared" si="341"/>
        <v>funded</v>
      </c>
    </row>
    <row r="3624" spans="1:22" ht="3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8314</v>
      </c>
      <c r="R3624" t="s">
        <v>8315</v>
      </c>
      <c r="S3624" s="14">
        <f t="shared" si="338"/>
        <v>41877.221886574072</v>
      </c>
      <c r="T3624" s="14">
        <f t="shared" si="339"/>
        <v>41910.140972222223</v>
      </c>
      <c r="U3624" s="64">
        <f t="shared" si="340"/>
        <v>32.91908564815094</v>
      </c>
      <c r="V3624" s="13" t="str">
        <f t="shared" si="341"/>
        <v>funded</v>
      </c>
    </row>
    <row r="3625" spans="1:22" ht="3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8314</v>
      </c>
      <c r="R3625" t="s">
        <v>8315</v>
      </c>
      <c r="S3625" s="14">
        <f t="shared" si="338"/>
        <v>41828.736921296295</v>
      </c>
      <c r="T3625" s="14">
        <f t="shared" si="339"/>
        <v>41846.291666666664</v>
      </c>
      <c r="U3625" s="64">
        <f t="shared" si="340"/>
        <v>17.554745370369346</v>
      </c>
      <c r="V3625" s="13" t="str">
        <f t="shared" si="341"/>
        <v>funded</v>
      </c>
    </row>
    <row r="3626" spans="1:22" ht="80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8314</v>
      </c>
      <c r="R3626" t="s">
        <v>8315</v>
      </c>
      <c r="S3626" s="14">
        <f t="shared" si="338"/>
        <v>42545.774189814809</v>
      </c>
      <c r="T3626" s="14">
        <f t="shared" si="339"/>
        <v>42605.774189814809</v>
      </c>
      <c r="U3626" s="64">
        <f t="shared" si="340"/>
        <v>60</v>
      </c>
      <c r="V3626" s="13" t="str">
        <f t="shared" si="341"/>
        <v>funded</v>
      </c>
    </row>
    <row r="3627" spans="1:22" ht="48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8314</v>
      </c>
      <c r="R3627" t="s">
        <v>8315</v>
      </c>
      <c r="S3627" s="14">
        <f t="shared" si="338"/>
        <v>42157.652511574073</v>
      </c>
      <c r="T3627" s="14">
        <f t="shared" si="339"/>
        <v>42187.652511574073</v>
      </c>
      <c r="U3627" s="64">
        <f t="shared" si="340"/>
        <v>30</v>
      </c>
      <c r="V3627" s="13" t="str">
        <f t="shared" si="341"/>
        <v>funded</v>
      </c>
    </row>
    <row r="3628" spans="1:22" ht="48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8314</v>
      </c>
      <c r="R3628" t="s">
        <v>8315</v>
      </c>
      <c r="S3628" s="14">
        <f t="shared" si="338"/>
        <v>41846.667326388888</v>
      </c>
      <c r="T3628" s="14">
        <f t="shared" si="339"/>
        <v>41867.667326388888</v>
      </c>
      <c r="U3628" s="64">
        <f t="shared" si="340"/>
        <v>21</v>
      </c>
      <c r="V3628" s="13" t="str">
        <f t="shared" si="341"/>
        <v>funded</v>
      </c>
    </row>
    <row r="3629" spans="1:22" ht="48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8314</v>
      </c>
      <c r="R3629" t="s">
        <v>8315</v>
      </c>
      <c r="S3629" s="14">
        <f t="shared" si="338"/>
        <v>42460.741747685184</v>
      </c>
      <c r="T3629" s="14">
        <f t="shared" si="339"/>
        <v>42511.165972222225</v>
      </c>
      <c r="U3629" s="64">
        <f t="shared" si="340"/>
        <v>50.424224537040573</v>
      </c>
      <c r="V3629" s="13" t="str">
        <f t="shared" si="341"/>
        <v>funded</v>
      </c>
    </row>
    <row r="3630" spans="1:22" ht="48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0" t="s">
        <v>8314</v>
      </c>
      <c r="R3630" t="s">
        <v>8356</v>
      </c>
      <c r="S3630" s="14">
        <f t="shared" si="338"/>
        <v>42291.833287037036</v>
      </c>
      <c r="T3630" s="14">
        <f t="shared" si="339"/>
        <v>42351.874953703707</v>
      </c>
      <c r="U3630" s="64">
        <f t="shared" si="340"/>
        <v>60.041666666671517</v>
      </c>
      <c r="V3630" s="13" t="str">
        <f t="shared" si="341"/>
        <v>underfunded</v>
      </c>
    </row>
    <row r="3631" spans="1:22" ht="48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0" t="s">
        <v>8314</v>
      </c>
      <c r="R3631" t="s">
        <v>8356</v>
      </c>
      <c r="S3631" s="14">
        <f t="shared" si="338"/>
        <v>42437.094490740739</v>
      </c>
      <c r="T3631" s="14">
        <f t="shared" si="339"/>
        <v>42495.708333333328</v>
      </c>
      <c r="U3631" s="64">
        <f t="shared" si="340"/>
        <v>58.613842592589208</v>
      </c>
      <c r="V3631" s="13" t="str">
        <f t="shared" si="341"/>
        <v>underfunded</v>
      </c>
    </row>
    <row r="3632" spans="1:22" ht="48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8314</v>
      </c>
      <c r="R3632" t="s">
        <v>8356</v>
      </c>
      <c r="S3632" s="14">
        <f t="shared" si="338"/>
        <v>41942.84710648148</v>
      </c>
      <c r="T3632" s="14">
        <f t="shared" si="339"/>
        <v>41972.888773148152</v>
      </c>
      <c r="U3632" s="64">
        <f t="shared" si="340"/>
        <v>30.041666666671517</v>
      </c>
      <c r="V3632" s="13" t="str">
        <f t="shared" si="341"/>
        <v>underfunded</v>
      </c>
    </row>
    <row r="3633" spans="1:22" ht="48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8314</v>
      </c>
      <c r="R3633" t="s">
        <v>8356</v>
      </c>
      <c r="S3633" s="14">
        <f t="shared" si="338"/>
        <v>41880.753437499996</v>
      </c>
      <c r="T3633" s="14">
        <f t="shared" si="339"/>
        <v>41905.165972222225</v>
      </c>
      <c r="U3633" s="64">
        <f t="shared" si="340"/>
        <v>24.412534722228884</v>
      </c>
      <c r="V3633" s="13" t="str">
        <f t="shared" si="341"/>
        <v>underfunded</v>
      </c>
    </row>
    <row r="3634" spans="1:22" ht="48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8314</v>
      </c>
      <c r="R3634" t="s">
        <v>8356</v>
      </c>
      <c r="S3634" s="14">
        <f t="shared" si="338"/>
        <v>41946.936909722222</v>
      </c>
      <c r="T3634" s="14">
        <f t="shared" si="339"/>
        <v>41966.936909722222</v>
      </c>
      <c r="U3634" s="64">
        <f t="shared" si="340"/>
        <v>20</v>
      </c>
      <c r="V3634" s="13" t="str">
        <f t="shared" si="341"/>
        <v>underfunded</v>
      </c>
    </row>
    <row r="3635" spans="1:22" ht="48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8314</v>
      </c>
      <c r="R3635" t="s">
        <v>8356</v>
      </c>
      <c r="S3635" s="14">
        <f t="shared" si="338"/>
        <v>42649.623460648145</v>
      </c>
      <c r="T3635" s="14">
        <f t="shared" si="339"/>
        <v>42693.041666666672</v>
      </c>
      <c r="U3635" s="64">
        <f t="shared" si="340"/>
        <v>43.418206018526689</v>
      </c>
      <c r="V3635" s="13" t="str">
        <f t="shared" si="341"/>
        <v>underfunded</v>
      </c>
    </row>
    <row r="3636" spans="1:22" ht="48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8314</v>
      </c>
      <c r="R3636" t="s">
        <v>8356</v>
      </c>
      <c r="S3636" s="14">
        <f t="shared" si="338"/>
        <v>42701.166365740741</v>
      </c>
      <c r="T3636" s="14">
        <f t="shared" si="339"/>
        <v>42749.165972222225</v>
      </c>
      <c r="U3636" s="64">
        <f t="shared" si="340"/>
        <v>47.999606481484079</v>
      </c>
      <c r="V3636" s="13" t="str">
        <f t="shared" si="341"/>
        <v>underfunded</v>
      </c>
    </row>
    <row r="3637" spans="1:22" ht="3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8314</v>
      </c>
      <c r="R3637" t="s">
        <v>8356</v>
      </c>
      <c r="S3637" s="14">
        <f t="shared" si="338"/>
        <v>42450.88282407407</v>
      </c>
      <c r="T3637" s="14">
        <f t="shared" si="339"/>
        <v>42480.88282407407</v>
      </c>
      <c r="U3637" s="64">
        <f t="shared" si="340"/>
        <v>30</v>
      </c>
      <c r="V3637" s="13" t="str">
        <f t="shared" si="341"/>
        <v>underfunded</v>
      </c>
    </row>
    <row r="3638" spans="1:22" ht="48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0" t="s">
        <v>8314</v>
      </c>
      <c r="R3638" t="s">
        <v>8356</v>
      </c>
      <c r="S3638" s="14">
        <f t="shared" si="338"/>
        <v>42226.694780092599</v>
      </c>
      <c r="T3638" s="14">
        <f t="shared" si="339"/>
        <v>42261.694780092599</v>
      </c>
      <c r="U3638" s="64">
        <f t="shared" si="340"/>
        <v>35</v>
      </c>
      <c r="V3638" s="13" t="str">
        <f t="shared" si="341"/>
        <v>underfunded</v>
      </c>
    </row>
    <row r="3639" spans="1:22" ht="6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8314</v>
      </c>
      <c r="R3639" t="s">
        <v>8356</v>
      </c>
      <c r="S3639" s="14">
        <f t="shared" si="338"/>
        <v>41975.700636574074</v>
      </c>
      <c r="T3639" s="14">
        <f t="shared" si="339"/>
        <v>42005.700636574074</v>
      </c>
      <c r="U3639" s="64">
        <f t="shared" si="340"/>
        <v>30</v>
      </c>
      <c r="V3639" s="13" t="str">
        <f t="shared" si="341"/>
        <v>underfunded</v>
      </c>
    </row>
    <row r="3640" spans="1:22" ht="3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8314</v>
      </c>
      <c r="R3640" t="s">
        <v>8356</v>
      </c>
      <c r="S3640" s="14">
        <f t="shared" si="338"/>
        <v>42053.672824074078</v>
      </c>
      <c r="T3640" s="14">
        <f t="shared" si="339"/>
        <v>42113.631157407406</v>
      </c>
      <c r="U3640" s="64">
        <f t="shared" si="340"/>
        <v>59.958333333328483</v>
      </c>
      <c r="V3640" s="13" t="str">
        <f t="shared" si="341"/>
        <v>underfunded</v>
      </c>
    </row>
    <row r="3641" spans="1:22" ht="48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0" t="s">
        <v>8314</v>
      </c>
      <c r="R3641" t="s">
        <v>8356</v>
      </c>
      <c r="S3641" s="14">
        <f t="shared" si="338"/>
        <v>42590.677152777775</v>
      </c>
      <c r="T3641" s="14">
        <f t="shared" si="339"/>
        <v>42650.632638888885</v>
      </c>
      <c r="U3641" s="64">
        <f t="shared" si="340"/>
        <v>59.955486111110076</v>
      </c>
      <c r="V3641" s="13" t="str">
        <f t="shared" si="341"/>
        <v>underfunded</v>
      </c>
    </row>
    <row r="3642" spans="1:22" ht="80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8314</v>
      </c>
      <c r="R3642" t="s">
        <v>8356</v>
      </c>
      <c r="S3642" s="14">
        <f t="shared" si="338"/>
        <v>42104.781597222223</v>
      </c>
      <c r="T3642" s="14">
        <f t="shared" si="339"/>
        <v>42134.781597222223</v>
      </c>
      <c r="U3642" s="64">
        <f t="shared" si="340"/>
        <v>30</v>
      </c>
      <c r="V3642" s="13" t="str">
        <f t="shared" si="341"/>
        <v>underfunded</v>
      </c>
    </row>
    <row r="3643" spans="1:22" ht="48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0" t="s">
        <v>8314</v>
      </c>
      <c r="R3643" t="s">
        <v>8356</v>
      </c>
      <c r="S3643" s="14">
        <f t="shared" si="338"/>
        <v>41899.627071759263</v>
      </c>
      <c r="T3643" s="14">
        <f t="shared" si="339"/>
        <v>41917.208333333336</v>
      </c>
      <c r="U3643" s="64">
        <f t="shared" si="340"/>
        <v>17.581261574072414</v>
      </c>
      <c r="V3643" s="13" t="str">
        <f t="shared" si="341"/>
        <v>underfunded</v>
      </c>
    </row>
    <row r="3644" spans="1:22" ht="6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8314</v>
      </c>
      <c r="R3644" t="s">
        <v>8356</v>
      </c>
      <c r="S3644" s="14">
        <f t="shared" si="338"/>
        <v>42297.816284722227</v>
      </c>
      <c r="T3644" s="14">
        <f t="shared" si="339"/>
        <v>42338.708333333328</v>
      </c>
      <c r="U3644" s="64">
        <f t="shared" si="340"/>
        <v>40.892048611101927</v>
      </c>
      <c r="V3644" s="13" t="str">
        <f t="shared" si="341"/>
        <v>underfunded</v>
      </c>
    </row>
    <row r="3645" spans="1:22" ht="48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0" t="s">
        <v>8314</v>
      </c>
      <c r="R3645" t="s">
        <v>8356</v>
      </c>
      <c r="S3645" s="14">
        <f t="shared" si="338"/>
        <v>42285.143969907411</v>
      </c>
      <c r="T3645" s="14">
        <f t="shared" si="339"/>
        <v>42325.185636574075</v>
      </c>
      <c r="U3645" s="64">
        <f t="shared" si="340"/>
        <v>40.041666666664241</v>
      </c>
      <c r="V3645" s="13" t="str">
        <f t="shared" si="341"/>
        <v>underfunded</v>
      </c>
    </row>
    <row r="3646" spans="1:22" ht="48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8314</v>
      </c>
      <c r="R3646" t="s">
        <v>8356</v>
      </c>
      <c r="S3646" s="14">
        <f t="shared" si="338"/>
        <v>42409.241747685184</v>
      </c>
      <c r="T3646" s="14">
        <f t="shared" si="339"/>
        <v>42437.207638888889</v>
      </c>
      <c r="U3646" s="64">
        <f t="shared" si="340"/>
        <v>27.965891203704814</v>
      </c>
      <c r="V3646" s="13" t="str">
        <f t="shared" si="341"/>
        <v>underfunded</v>
      </c>
    </row>
    <row r="3647" spans="1:22" ht="48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0" t="s">
        <v>8314</v>
      </c>
      <c r="R3647" t="s">
        <v>8356</v>
      </c>
      <c r="S3647" s="14">
        <f t="shared" si="338"/>
        <v>42665.970347222217</v>
      </c>
      <c r="T3647" s="14">
        <f t="shared" si="339"/>
        <v>42696.012013888889</v>
      </c>
      <c r="U3647" s="64">
        <f t="shared" si="340"/>
        <v>30.041666666671517</v>
      </c>
      <c r="V3647" s="13" t="str">
        <f t="shared" si="341"/>
        <v>underfunded</v>
      </c>
    </row>
    <row r="3648" spans="1:22" ht="48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8314</v>
      </c>
      <c r="R3648" t="s">
        <v>8356</v>
      </c>
      <c r="S3648" s="14">
        <f t="shared" si="338"/>
        <v>42140.421319444446</v>
      </c>
      <c r="T3648" s="14">
        <f t="shared" si="339"/>
        <v>42171.979166666672</v>
      </c>
      <c r="U3648" s="64">
        <f t="shared" si="340"/>
        <v>31.557847222225973</v>
      </c>
      <c r="V3648" s="13" t="str">
        <f t="shared" si="341"/>
        <v>underfunded</v>
      </c>
    </row>
    <row r="3649" spans="1:22" ht="48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8314</v>
      </c>
      <c r="R3649" t="s">
        <v>8356</v>
      </c>
      <c r="S3649" s="14">
        <f t="shared" si="338"/>
        <v>42598.749155092592</v>
      </c>
      <c r="T3649" s="14">
        <f t="shared" si="339"/>
        <v>42643.749155092592</v>
      </c>
      <c r="U3649" s="64">
        <f t="shared" si="340"/>
        <v>45</v>
      </c>
      <c r="V3649" s="13" t="str">
        <f t="shared" si="341"/>
        <v>underfunded</v>
      </c>
    </row>
    <row r="3650" spans="1:22" ht="3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</v>
      </c>
      <c r="P3650">
        <f t="shared" si="337"/>
        <v>550.04</v>
      </c>
      <c r="Q3650" s="10" t="s">
        <v>8314</v>
      </c>
      <c r="R3650" t="s">
        <v>8315</v>
      </c>
      <c r="S3650" s="14">
        <f t="shared" si="338"/>
        <v>41887.292187500003</v>
      </c>
      <c r="T3650" s="14">
        <f t="shared" si="339"/>
        <v>41917.292187500003</v>
      </c>
      <c r="U3650" s="64">
        <f t="shared" si="340"/>
        <v>30</v>
      </c>
      <c r="V3650" s="13" t="str">
        <f t="shared" si="341"/>
        <v>funded</v>
      </c>
    </row>
    <row r="3651" spans="1:22" ht="48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>ROUND(E3651/D3651*100,0)</f>
        <v>104</v>
      </c>
      <c r="P3651">
        <f t="shared" ref="P3651:P3714" si="343">IFERROR(ROUND(E3651/L3651,2), 0)</f>
        <v>97.5</v>
      </c>
      <c r="Q3651" s="10" t="s">
        <v>8314</v>
      </c>
      <c r="R3651" t="s">
        <v>8315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 s="64">
        <f t="shared" ref="U3651:V3714" si="346">T3651-S3651</f>
        <v>26</v>
      </c>
      <c r="V3651" s="13" t="str">
        <f t="shared" ref="V3651:V3714" si="347">IF(E3651&gt;=D3651, "funded", "underfunded")</f>
        <v>funded</v>
      </c>
    </row>
    <row r="3652" spans="1:22" ht="48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8314</v>
      </c>
      <c r="R3652" t="s">
        <v>8315</v>
      </c>
      <c r="S3652" s="14">
        <f t="shared" si="344"/>
        <v>42381.478981481487</v>
      </c>
      <c r="T3652" s="14">
        <f t="shared" si="345"/>
        <v>42402.478981481487</v>
      </c>
      <c r="U3652" s="64">
        <f t="shared" si="346"/>
        <v>21</v>
      </c>
      <c r="V3652" s="13" t="str">
        <f t="shared" si="347"/>
        <v>funded</v>
      </c>
    </row>
    <row r="3653" spans="1:22" ht="3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8314</v>
      </c>
      <c r="R3653" t="s">
        <v>8315</v>
      </c>
      <c r="S3653" s="14">
        <f t="shared" si="344"/>
        <v>41828.646319444444</v>
      </c>
      <c r="T3653" s="14">
        <f t="shared" si="345"/>
        <v>41861.665972222225</v>
      </c>
      <c r="U3653" s="64">
        <f t="shared" si="346"/>
        <v>33.01965277778072</v>
      </c>
      <c r="V3653" s="13" t="str">
        <f t="shared" si="347"/>
        <v>funded</v>
      </c>
    </row>
    <row r="3654" spans="1:22" ht="48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8314</v>
      </c>
      <c r="R3654" t="s">
        <v>8315</v>
      </c>
      <c r="S3654" s="14">
        <f t="shared" si="344"/>
        <v>42596.644699074073</v>
      </c>
      <c r="T3654" s="14">
        <f t="shared" si="345"/>
        <v>42607.165972222225</v>
      </c>
      <c r="U3654" s="64">
        <f t="shared" si="346"/>
        <v>10.521273148151522</v>
      </c>
      <c r="V3654" s="13" t="str">
        <f t="shared" si="347"/>
        <v>funded</v>
      </c>
    </row>
    <row r="3655" spans="1:22" ht="48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8314</v>
      </c>
      <c r="R3655" t="s">
        <v>8315</v>
      </c>
      <c r="S3655" s="14">
        <f t="shared" si="344"/>
        <v>42191.363506944443</v>
      </c>
      <c r="T3655" s="14">
        <f t="shared" si="345"/>
        <v>42221.363506944443</v>
      </c>
      <c r="U3655" s="64">
        <f t="shared" si="346"/>
        <v>30</v>
      </c>
      <c r="V3655" s="13" t="str">
        <f t="shared" si="347"/>
        <v>funded</v>
      </c>
    </row>
    <row r="3656" spans="1:22" ht="48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8314</v>
      </c>
      <c r="R3656" t="s">
        <v>8315</v>
      </c>
      <c r="S3656" s="14">
        <f t="shared" si="344"/>
        <v>42440.416504629626</v>
      </c>
      <c r="T3656" s="14">
        <f t="shared" si="345"/>
        <v>42463.708333333328</v>
      </c>
      <c r="U3656" s="64">
        <f t="shared" si="346"/>
        <v>23.291828703702777</v>
      </c>
      <c r="V3656" s="13" t="str">
        <f t="shared" si="347"/>
        <v>funded</v>
      </c>
    </row>
    <row r="3657" spans="1:22" ht="48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8314</v>
      </c>
      <c r="R3657" t="s">
        <v>8315</v>
      </c>
      <c r="S3657" s="14">
        <f t="shared" si="344"/>
        <v>42173.803217592591</v>
      </c>
      <c r="T3657" s="14">
        <f t="shared" si="345"/>
        <v>42203.290972222225</v>
      </c>
      <c r="U3657" s="64">
        <f t="shared" si="346"/>
        <v>29.487754629633855</v>
      </c>
      <c r="V3657" s="13" t="str">
        <f t="shared" si="347"/>
        <v>funded</v>
      </c>
    </row>
    <row r="3658" spans="1:22" ht="48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8314</v>
      </c>
      <c r="R3658" t="s">
        <v>8315</v>
      </c>
      <c r="S3658" s="14">
        <f t="shared" si="344"/>
        <v>42737.910138888896</v>
      </c>
      <c r="T3658" s="14">
        <f t="shared" si="345"/>
        <v>42767.957638888889</v>
      </c>
      <c r="U3658" s="64">
        <f t="shared" si="346"/>
        <v>30.047499999993306</v>
      </c>
      <c r="V3658" s="13" t="str">
        <f t="shared" si="347"/>
        <v>funded</v>
      </c>
    </row>
    <row r="3659" spans="1:22" ht="48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8314</v>
      </c>
      <c r="R3659" t="s">
        <v>8315</v>
      </c>
      <c r="S3659" s="14">
        <f t="shared" si="344"/>
        <v>42499.629849537043</v>
      </c>
      <c r="T3659" s="14">
        <f t="shared" si="345"/>
        <v>42522.904166666667</v>
      </c>
      <c r="U3659" s="64">
        <f t="shared" si="346"/>
        <v>23.274317129624251</v>
      </c>
      <c r="V3659" s="13" t="str">
        <f t="shared" si="347"/>
        <v>funded</v>
      </c>
    </row>
    <row r="3660" spans="1:22" ht="3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8314</v>
      </c>
      <c r="R3660" t="s">
        <v>8315</v>
      </c>
      <c r="S3660" s="14">
        <f t="shared" si="344"/>
        <v>41775.858564814815</v>
      </c>
      <c r="T3660" s="14">
        <f t="shared" si="345"/>
        <v>41822.165972222225</v>
      </c>
      <c r="U3660" s="64">
        <f t="shared" si="346"/>
        <v>46.30740740741021</v>
      </c>
      <c r="V3660" s="13" t="str">
        <f t="shared" si="347"/>
        <v>funded</v>
      </c>
    </row>
    <row r="3661" spans="1:22" ht="48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8314</v>
      </c>
      <c r="R3661" t="s">
        <v>8315</v>
      </c>
      <c r="S3661" s="14">
        <f t="shared" si="344"/>
        <v>42055.277199074073</v>
      </c>
      <c r="T3661" s="14">
        <f t="shared" si="345"/>
        <v>42082.610416666663</v>
      </c>
      <c r="U3661" s="64">
        <f t="shared" si="346"/>
        <v>27.33321759258979</v>
      </c>
      <c r="V3661" s="13" t="str">
        <f t="shared" si="347"/>
        <v>funded</v>
      </c>
    </row>
    <row r="3662" spans="1:22" ht="48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8314</v>
      </c>
      <c r="R3662" t="s">
        <v>8315</v>
      </c>
      <c r="S3662" s="14">
        <f t="shared" si="344"/>
        <v>41971.881076388891</v>
      </c>
      <c r="T3662" s="14">
        <f t="shared" si="345"/>
        <v>41996.881076388891</v>
      </c>
      <c r="U3662" s="64">
        <f t="shared" si="346"/>
        <v>25</v>
      </c>
      <c r="V3662" s="13" t="str">
        <f t="shared" si="347"/>
        <v>funded</v>
      </c>
    </row>
    <row r="3663" spans="1:22" ht="48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8314</v>
      </c>
      <c r="R3663" t="s">
        <v>8315</v>
      </c>
      <c r="S3663" s="14">
        <f t="shared" si="344"/>
        <v>42447.896666666667</v>
      </c>
      <c r="T3663" s="14">
        <f t="shared" si="345"/>
        <v>42470.166666666672</v>
      </c>
      <c r="U3663" s="64">
        <f t="shared" si="346"/>
        <v>22.270000000004075</v>
      </c>
      <c r="V3663" s="13" t="str">
        <f t="shared" si="347"/>
        <v>funded</v>
      </c>
    </row>
    <row r="3664" spans="1:22" ht="48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8314</v>
      </c>
      <c r="R3664" t="s">
        <v>8315</v>
      </c>
      <c r="S3664" s="14">
        <f t="shared" si="344"/>
        <v>42064.220069444447</v>
      </c>
      <c r="T3664" s="14">
        <f t="shared" si="345"/>
        <v>42094.178402777776</v>
      </c>
      <c r="U3664" s="64">
        <f t="shared" si="346"/>
        <v>29.958333333328483</v>
      </c>
      <c r="V3664" s="13" t="str">
        <f t="shared" si="347"/>
        <v>funded</v>
      </c>
    </row>
    <row r="3665" spans="1:22" ht="48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8314</v>
      </c>
      <c r="R3665" t="s">
        <v>8315</v>
      </c>
      <c r="S3665" s="14">
        <f t="shared" si="344"/>
        <v>42665.451736111107</v>
      </c>
      <c r="T3665" s="14">
        <f t="shared" si="345"/>
        <v>42725.493402777778</v>
      </c>
      <c r="U3665" s="64">
        <f t="shared" si="346"/>
        <v>60.041666666671517</v>
      </c>
      <c r="V3665" s="13" t="str">
        <f t="shared" si="347"/>
        <v>funded</v>
      </c>
    </row>
    <row r="3666" spans="1:22" ht="48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8314</v>
      </c>
      <c r="R3666" t="s">
        <v>8315</v>
      </c>
      <c r="S3666" s="14">
        <f t="shared" si="344"/>
        <v>42523.248715277776</v>
      </c>
      <c r="T3666" s="14">
        <f t="shared" si="345"/>
        <v>42537.248715277776</v>
      </c>
      <c r="U3666" s="64">
        <f t="shared" si="346"/>
        <v>14</v>
      </c>
      <c r="V3666" s="13" t="str">
        <f t="shared" si="347"/>
        <v>funded</v>
      </c>
    </row>
    <row r="3667" spans="1:22" ht="48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8314</v>
      </c>
      <c r="R3667" t="s">
        <v>8315</v>
      </c>
      <c r="S3667" s="14">
        <f t="shared" si="344"/>
        <v>42294.808124999996</v>
      </c>
      <c r="T3667" s="14">
        <f t="shared" si="345"/>
        <v>42305.829166666663</v>
      </c>
      <c r="U3667" s="64">
        <f t="shared" si="346"/>
        <v>11.021041666666861</v>
      </c>
      <c r="V3667" s="13" t="str">
        <f t="shared" si="347"/>
        <v>funded</v>
      </c>
    </row>
    <row r="3668" spans="1:22" ht="16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8314</v>
      </c>
      <c r="R3668" t="s">
        <v>8315</v>
      </c>
      <c r="S3668" s="14">
        <f t="shared" si="344"/>
        <v>41822.90488425926</v>
      </c>
      <c r="T3668" s="14">
        <f t="shared" si="345"/>
        <v>41844.291666666664</v>
      </c>
      <c r="U3668" s="64">
        <f t="shared" si="346"/>
        <v>21.386782407404098</v>
      </c>
      <c r="V3668" s="13" t="str">
        <f t="shared" si="347"/>
        <v>funded</v>
      </c>
    </row>
    <row r="3669" spans="1:22" ht="48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8314</v>
      </c>
      <c r="R3669" t="s">
        <v>8315</v>
      </c>
      <c r="S3669" s="14">
        <f t="shared" si="344"/>
        <v>42173.970127314817</v>
      </c>
      <c r="T3669" s="14">
        <f t="shared" si="345"/>
        <v>42203.970127314817</v>
      </c>
      <c r="U3669" s="64">
        <f t="shared" si="346"/>
        <v>30</v>
      </c>
      <c r="V3669" s="13" t="str">
        <f t="shared" si="347"/>
        <v>funded</v>
      </c>
    </row>
    <row r="3670" spans="1:22" ht="48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8314</v>
      </c>
      <c r="R3670" t="s">
        <v>8315</v>
      </c>
      <c r="S3670" s="14">
        <f t="shared" si="344"/>
        <v>42185.556157407409</v>
      </c>
      <c r="T3670" s="14">
        <f t="shared" si="345"/>
        <v>42208.772916666669</v>
      </c>
      <c r="U3670" s="64">
        <f t="shared" si="346"/>
        <v>23.216759259259561</v>
      </c>
      <c r="V3670" s="13" t="str">
        <f t="shared" si="347"/>
        <v>funded</v>
      </c>
    </row>
    <row r="3671" spans="1:22" ht="48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8314</v>
      </c>
      <c r="R3671" t="s">
        <v>8315</v>
      </c>
      <c r="S3671" s="14">
        <f t="shared" si="344"/>
        <v>42136.675196759257</v>
      </c>
      <c r="T3671" s="14">
        <f t="shared" si="345"/>
        <v>42166.675196759257</v>
      </c>
      <c r="U3671" s="64">
        <f t="shared" si="346"/>
        <v>30</v>
      </c>
      <c r="V3671" s="13" t="str">
        <f t="shared" si="347"/>
        <v>funded</v>
      </c>
    </row>
    <row r="3672" spans="1:22" ht="48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8314</v>
      </c>
      <c r="R3672" t="s">
        <v>8315</v>
      </c>
      <c r="S3672" s="14">
        <f t="shared" si="344"/>
        <v>42142.514016203699</v>
      </c>
      <c r="T3672" s="14">
        <f t="shared" si="345"/>
        <v>42155.958333333328</v>
      </c>
      <c r="U3672" s="64">
        <f t="shared" si="346"/>
        <v>13.444317129629781</v>
      </c>
      <c r="V3672" s="13" t="str">
        <f t="shared" si="347"/>
        <v>funded</v>
      </c>
    </row>
    <row r="3673" spans="1:22" ht="48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8314</v>
      </c>
      <c r="R3673" t="s">
        <v>8315</v>
      </c>
      <c r="S3673" s="14">
        <f t="shared" si="344"/>
        <v>41820.62809027778</v>
      </c>
      <c r="T3673" s="14">
        <f t="shared" si="345"/>
        <v>41841.165972222225</v>
      </c>
      <c r="U3673" s="64">
        <f t="shared" si="346"/>
        <v>20.537881944444962</v>
      </c>
      <c r="V3673" s="13" t="str">
        <f t="shared" si="347"/>
        <v>funded</v>
      </c>
    </row>
    <row r="3674" spans="1:22" ht="48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8314</v>
      </c>
      <c r="R3674" t="s">
        <v>8315</v>
      </c>
      <c r="S3674" s="14">
        <f t="shared" si="344"/>
        <v>41878.946574074071</v>
      </c>
      <c r="T3674" s="14">
        <f t="shared" si="345"/>
        <v>41908.946574074071</v>
      </c>
      <c r="U3674" s="64">
        <f t="shared" si="346"/>
        <v>30</v>
      </c>
      <c r="V3674" s="13" t="str">
        <f t="shared" si="347"/>
        <v>funded</v>
      </c>
    </row>
    <row r="3675" spans="1:22" ht="48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8314</v>
      </c>
      <c r="R3675" t="s">
        <v>8315</v>
      </c>
      <c r="S3675" s="14">
        <f t="shared" si="344"/>
        <v>41914.295104166667</v>
      </c>
      <c r="T3675" s="14">
        <f t="shared" si="345"/>
        <v>41948.536111111112</v>
      </c>
      <c r="U3675" s="64">
        <f t="shared" si="346"/>
        <v>34.241006944444962</v>
      </c>
      <c r="V3675" s="13" t="str">
        <f t="shared" si="347"/>
        <v>funded</v>
      </c>
    </row>
    <row r="3676" spans="1:22" ht="48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8314</v>
      </c>
      <c r="R3676" t="s">
        <v>8315</v>
      </c>
      <c r="S3676" s="14">
        <f t="shared" si="344"/>
        <v>42556.873020833329</v>
      </c>
      <c r="T3676" s="14">
        <f t="shared" si="345"/>
        <v>42616.873020833329</v>
      </c>
      <c r="U3676" s="64">
        <f t="shared" si="346"/>
        <v>60</v>
      </c>
      <c r="V3676" s="13" t="str">
        <f t="shared" si="347"/>
        <v>funded</v>
      </c>
    </row>
    <row r="3677" spans="1:22" ht="48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8314</v>
      </c>
      <c r="R3677" t="s">
        <v>8315</v>
      </c>
      <c r="S3677" s="14">
        <f t="shared" si="344"/>
        <v>42493.597013888888</v>
      </c>
      <c r="T3677" s="14">
        <f t="shared" si="345"/>
        <v>42505.958333333328</v>
      </c>
      <c r="U3677" s="64">
        <f t="shared" si="346"/>
        <v>12.361319444440596</v>
      </c>
      <c r="V3677" s="13" t="str">
        <f t="shared" si="347"/>
        <v>funded</v>
      </c>
    </row>
    <row r="3678" spans="1:22" ht="48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8314</v>
      </c>
      <c r="R3678" t="s">
        <v>8315</v>
      </c>
      <c r="S3678" s="14">
        <f t="shared" si="344"/>
        <v>41876.815787037034</v>
      </c>
      <c r="T3678" s="14">
        <f t="shared" si="345"/>
        <v>41894.815787037034</v>
      </c>
      <c r="U3678" s="64">
        <f t="shared" si="346"/>
        <v>18</v>
      </c>
      <c r="V3678" s="13" t="str">
        <f t="shared" si="347"/>
        <v>funded</v>
      </c>
    </row>
    <row r="3679" spans="1:22" ht="3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8314</v>
      </c>
      <c r="R3679" t="s">
        <v>8315</v>
      </c>
      <c r="S3679" s="14">
        <f t="shared" si="344"/>
        <v>41802.574282407404</v>
      </c>
      <c r="T3679" s="14">
        <f t="shared" si="345"/>
        <v>41823.165972222225</v>
      </c>
      <c r="U3679" s="64">
        <f t="shared" si="346"/>
        <v>20.591689814820711</v>
      </c>
      <c r="V3679" s="13" t="str">
        <f t="shared" si="347"/>
        <v>funded</v>
      </c>
    </row>
    <row r="3680" spans="1:22" ht="3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8314</v>
      </c>
      <c r="R3680" t="s">
        <v>8315</v>
      </c>
      <c r="S3680" s="14">
        <f t="shared" si="344"/>
        <v>42120.531226851846</v>
      </c>
      <c r="T3680" s="14">
        <f t="shared" si="345"/>
        <v>42155.531226851846</v>
      </c>
      <c r="U3680" s="64">
        <f t="shared" si="346"/>
        <v>35</v>
      </c>
      <c r="V3680" s="13" t="str">
        <f t="shared" si="347"/>
        <v>funded</v>
      </c>
    </row>
    <row r="3681" spans="1:22" ht="48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8314</v>
      </c>
      <c r="R3681" t="s">
        <v>8315</v>
      </c>
      <c r="S3681" s="14">
        <f t="shared" si="344"/>
        <v>41786.761354166665</v>
      </c>
      <c r="T3681" s="14">
        <f t="shared" si="345"/>
        <v>41821.207638888889</v>
      </c>
      <c r="U3681" s="64">
        <f t="shared" si="346"/>
        <v>34.446284722223936</v>
      </c>
      <c r="V3681" s="13" t="str">
        <f t="shared" si="347"/>
        <v>funded</v>
      </c>
    </row>
    <row r="3682" spans="1:22" ht="3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8314</v>
      </c>
      <c r="R3682" t="s">
        <v>8315</v>
      </c>
      <c r="S3682" s="14">
        <f t="shared" si="344"/>
        <v>42627.454097222217</v>
      </c>
      <c r="T3682" s="14">
        <f t="shared" si="345"/>
        <v>42648.454097222217</v>
      </c>
      <c r="U3682" s="64">
        <f t="shared" si="346"/>
        <v>21</v>
      </c>
      <c r="V3682" s="13" t="str">
        <f t="shared" si="347"/>
        <v>funded</v>
      </c>
    </row>
    <row r="3683" spans="1:22" ht="6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8314</v>
      </c>
      <c r="R3683" t="s">
        <v>8315</v>
      </c>
      <c r="S3683" s="14">
        <f t="shared" si="344"/>
        <v>42374.651504629626</v>
      </c>
      <c r="T3683" s="14">
        <f t="shared" si="345"/>
        <v>42384.651504629626</v>
      </c>
      <c r="U3683" s="64">
        <f t="shared" si="346"/>
        <v>10</v>
      </c>
      <c r="V3683" s="13" t="str">
        <f t="shared" si="347"/>
        <v>funded</v>
      </c>
    </row>
    <row r="3684" spans="1:22" ht="48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8314</v>
      </c>
      <c r="R3684" t="s">
        <v>8315</v>
      </c>
      <c r="S3684" s="14">
        <f t="shared" si="344"/>
        <v>41772.685393518521</v>
      </c>
      <c r="T3684" s="14">
        <f t="shared" si="345"/>
        <v>41806.290972222225</v>
      </c>
      <c r="U3684" s="64">
        <f t="shared" si="346"/>
        <v>33.605578703703941</v>
      </c>
      <c r="V3684" s="13" t="str">
        <f t="shared" si="347"/>
        <v>funded</v>
      </c>
    </row>
    <row r="3685" spans="1:22" ht="48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8314</v>
      </c>
      <c r="R3685" t="s">
        <v>8315</v>
      </c>
      <c r="S3685" s="14">
        <f t="shared" si="344"/>
        <v>42633.116851851853</v>
      </c>
      <c r="T3685" s="14">
        <f t="shared" si="345"/>
        <v>42663.116851851853</v>
      </c>
      <c r="U3685" s="64">
        <f t="shared" si="346"/>
        <v>30</v>
      </c>
      <c r="V3685" s="13" t="str">
        <f t="shared" si="347"/>
        <v>funded</v>
      </c>
    </row>
    <row r="3686" spans="1:22" ht="48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8314</v>
      </c>
      <c r="R3686" t="s">
        <v>8315</v>
      </c>
      <c r="S3686" s="14">
        <f t="shared" si="344"/>
        <v>42219.180393518516</v>
      </c>
      <c r="T3686" s="14">
        <f t="shared" si="345"/>
        <v>42249.180393518516</v>
      </c>
      <c r="U3686" s="64">
        <f t="shared" si="346"/>
        <v>30</v>
      </c>
      <c r="V3686" s="13" t="str">
        <f t="shared" si="347"/>
        <v>funded</v>
      </c>
    </row>
    <row r="3687" spans="1:22" ht="48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8314</v>
      </c>
      <c r="R3687" t="s">
        <v>8315</v>
      </c>
      <c r="S3687" s="14">
        <f t="shared" si="344"/>
        <v>41753.593275462961</v>
      </c>
      <c r="T3687" s="14">
        <f t="shared" si="345"/>
        <v>41778.875</v>
      </c>
      <c r="U3687" s="64">
        <f t="shared" si="346"/>
        <v>25.281724537038826</v>
      </c>
      <c r="V3687" s="13" t="str">
        <f t="shared" si="347"/>
        <v>funded</v>
      </c>
    </row>
    <row r="3688" spans="1:22" ht="48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8314</v>
      </c>
      <c r="R3688" t="s">
        <v>8315</v>
      </c>
      <c r="S3688" s="14">
        <f t="shared" si="344"/>
        <v>42230.662731481483</v>
      </c>
      <c r="T3688" s="14">
        <f t="shared" si="345"/>
        <v>42245.165972222225</v>
      </c>
      <c r="U3688" s="64">
        <f t="shared" si="346"/>
        <v>14.503240740741603</v>
      </c>
      <c r="V3688" s="13" t="str">
        <f t="shared" si="347"/>
        <v>funded</v>
      </c>
    </row>
    <row r="3689" spans="1:22" ht="48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8314</v>
      </c>
      <c r="R3689" t="s">
        <v>8315</v>
      </c>
      <c r="S3689" s="14">
        <f t="shared" si="344"/>
        <v>41787.218229166669</v>
      </c>
      <c r="T3689" s="14">
        <f t="shared" si="345"/>
        <v>41817.218229166669</v>
      </c>
      <c r="U3689" s="64">
        <f t="shared" si="346"/>
        <v>30</v>
      </c>
      <c r="V3689" s="13" t="str">
        <f t="shared" si="347"/>
        <v>funded</v>
      </c>
    </row>
    <row r="3690" spans="1:22" ht="48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8314</v>
      </c>
      <c r="R3690" t="s">
        <v>8315</v>
      </c>
      <c r="S3690" s="14">
        <f t="shared" si="344"/>
        <v>41829.787083333329</v>
      </c>
      <c r="T3690" s="14">
        <f t="shared" si="345"/>
        <v>41859.787083333329</v>
      </c>
      <c r="U3690" s="64">
        <f t="shared" si="346"/>
        <v>30</v>
      </c>
      <c r="V3690" s="13" t="str">
        <f t="shared" si="347"/>
        <v>funded</v>
      </c>
    </row>
    <row r="3691" spans="1:22" ht="48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8314</v>
      </c>
      <c r="R3691" t="s">
        <v>8315</v>
      </c>
      <c r="S3691" s="14">
        <f t="shared" si="344"/>
        <v>42147.826840277776</v>
      </c>
      <c r="T3691" s="14">
        <f t="shared" si="345"/>
        <v>42176.934027777781</v>
      </c>
      <c r="U3691" s="64">
        <f t="shared" si="346"/>
        <v>29.107187500005239</v>
      </c>
      <c r="V3691" s="13" t="str">
        <f t="shared" si="347"/>
        <v>funded</v>
      </c>
    </row>
    <row r="3692" spans="1:22" ht="48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8314</v>
      </c>
      <c r="R3692" t="s">
        <v>8315</v>
      </c>
      <c r="S3692" s="14">
        <f t="shared" si="344"/>
        <v>41940.598182870373</v>
      </c>
      <c r="T3692" s="14">
        <f t="shared" si="345"/>
        <v>41970.639849537038</v>
      </c>
      <c r="U3692" s="64">
        <f t="shared" si="346"/>
        <v>30.041666666664241</v>
      </c>
      <c r="V3692" s="13" t="str">
        <f t="shared" si="347"/>
        <v>funded</v>
      </c>
    </row>
    <row r="3693" spans="1:22" ht="3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8314</v>
      </c>
      <c r="R3693" t="s">
        <v>8315</v>
      </c>
      <c r="S3693" s="14">
        <f t="shared" si="344"/>
        <v>42020.700567129628</v>
      </c>
      <c r="T3693" s="14">
        <f t="shared" si="345"/>
        <v>42065.207638888889</v>
      </c>
      <c r="U3693" s="64">
        <f t="shared" si="346"/>
        <v>44.507071759260725</v>
      </c>
      <c r="V3693" s="13" t="str">
        <f t="shared" si="347"/>
        <v>funded</v>
      </c>
    </row>
    <row r="3694" spans="1:22" ht="3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8314</v>
      </c>
      <c r="R3694" t="s">
        <v>8315</v>
      </c>
      <c r="S3694" s="14">
        <f t="shared" si="344"/>
        <v>41891.96503472222</v>
      </c>
      <c r="T3694" s="14">
        <f t="shared" si="345"/>
        <v>41901</v>
      </c>
      <c r="U3694" s="64">
        <f t="shared" si="346"/>
        <v>9.0349652777804295</v>
      </c>
      <c r="V3694" s="13" t="str">
        <f t="shared" si="347"/>
        <v>funded</v>
      </c>
    </row>
    <row r="3695" spans="1:22" ht="48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8314</v>
      </c>
      <c r="R3695" t="s">
        <v>8315</v>
      </c>
      <c r="S3695" s="14">
        <f t="shared" si="344"/>
        <v>42309.191307870366</v>
      </c>
      <c r="T3695" s="14">
        <f t="shared" si="345"/>
        <v>42338.9375</v>
      </c>
      <c r="U3695" s="64">
        <f t="shared" si="346"/>
        <v>29.746192129634437</v>
      </c>
      <c r="V3695" s="13" t="str">
        <f t="shared" si="347"/>
        <v>funded</v>
      </c>
    </row>
    <row r="3696" spans="1:22" ht="48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8314</v>
      </c>
      <c r="R3696" t="s">
        <v>8315</v>
      </c>
      <c r="S3696" s="14">
        <f t="shared" si="344"/>
        <v>42490.133877314816</v>
      </c>
      <c r="T3696" s="14">
        <f t="shared" si="345"/>
        <v>42527.083333333328</v>
      </c>
      <c r="U3696" s="64">
        <f t="shared" si="346"/>
        <v>36.949456018512137</v>
      </c>
      <c r="V3696" s="13" t="str">
        <f t="shared" si="347"/>
        <v>funded</v>
      </c>
    </row>
    <row r="3697" spans="1:22" ht="6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8314</v>
      </c>
      <c r="R3697" t="s">
        <v>8315</v>
      </c>
      <c r="S3697" s="14">
        <f t="shared" si="344"/>
        <v>41995.870486111111</v>
      </c>
      <c r="T3697" s="14">
        <f t="shared" si="345"/>
        <v>42015.870486111111</v>
      </c>
      <c r="U3697" s="64">
        <f t="shared" si="346"/>
        <v>20</v>
      </c>
      <c r="V3697" s="13" t="str">
        <f t="shared" si="347"/>
        <v>funded</v>
      </c>
    </row>
    <row r="3698" spans="1:22" ht="48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8314</v>
      </c>
      <c r="R3698" t="s">
        <v>8315</v>
      </c>
      <c r="S3698" s="14">
        <f t="shared" si="344"/>
        <v>41988.617083333331</v>
      </c>
      <c r="T3698" s="14">
        <f t="shared" si="345"/>
        <v>42048.617083333331</v>
      </c>
      <c r="U3698" s="64">
        <f t="shared" si="346"/>
        <v>60</v>
      </c>
      <c r="V3698" s="13" t="str">
        <f t="shared" si="347"/>
        <v>funded</v>
      </c>
    </row>
    <row r="3699" spans="1:22" ht="48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8314</v>
      </c>
      <c r="R3699" t="s">
        <v>8315</v>
      </c>
      <c r="S3699" s="14">
        <f t="shared" si="344"/>
        <v>42479.465833333335</v>
      </c>
      <c r="T3699" s="14">
        <f t="shared" si="345"/>
        <v>42500.465833333335</v>
      </c>
      <c r="U3699" s="64">
        <f t="shared" si="346"/>
        <v>21</v>
      </c>
      <c r="V3699" s="13" t="str">
        <f t="shared" si="347"/>
        <v>funded</v>
      </c>
    </row>
    <row r="3700" spans="1:22" ht="3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8314</v>
      </c>
      <c r="R3700" t="s">
        <v>8315</v>
      </c>
      <c r="S3700" s="14">
        <f t="shared" si="344"/>
        <v>42401.806562500002</v>
      </c>
      <c r="T3700" s="14">
        <f t="shared" si="345"/>
        <v>42431.806562500002</v>
      </c>
      <c r="U3700" s="64">
        <f t="shared" si="346"/>
        <v>30</v>
      </c>
      <c r="V3700" s="13" t="str">
        <f t="shared" si="347"/>
        <v>funded</v>
      </c>
    </row>
    <row r="3701" spans="1:22" ht="48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8314</v>
      </c>
      <c r="R3701" t="s">
        <v>8315</v>
      </c>
      <c r="S3701" s="14">
        <f t="shared" si="344"/>
        <v>41897.602037037039</v>
      </c>
      <c r="T3701" s="14">
        <f t="shared" si="345"/>
        <v>41927.602037037039</v>
      </c>
      <c r="U3701" s="64">
        <f t="shared" si="346"/>
        <v>30</v>
      </c>
      <c r="V3701" s="13" t="str">
        <f t="shared" si="347"/>
        <v>funded</v>
      </c>
    </row>
    <row r="3702" spans="1:22" ht="3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8314</v>
      </c>
      <c r="R3702" t="s">
        <v>8315</v>
      </c>
      <c r="S3702" s="14">
        <f t="shared" si="344"/>
        <v>41882.585648148146</v>
      </c>
      <c r="T3702" s="14">
        <f t="shared" si="345"/>
        <v>41912.666666666664</v>
      </c>
      <c r="U3702" s="64">
        <f t="shared" si="346"/>
        <v>30.081018518518249</v>
      </c>
      <c r="V3702" s="13" t="str">
        <f t="shared" si="347"/>
        <v>funded</v>
      </c>
    </row>
    <row r="3703" spans="1:22" ht="48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8314</v>
      </c>
      <c r="R3703" t="s">
        <v>8315</v>
      </c>
      <c r="S3703" s="14">
        <f t="shared" si="344"/>
        <v>42129.541585648149</v>
      </c>
      <c r="T3703" s="14">
        <f t="shared" si="345"/>
        <v>42159.541585648149</v>
      </c>
      <c r="U3703" s="64">
        <f t="shared" si="346"/>
        <v>30</v>
      </c>
      <c r="V3703" s="13" t="str">
        <f t="shared" si="347"/>
        <v>funded</v>
      </c>
    </row>
    <row r="3704" spans="1:22" ht="48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8314</v>
      </c>
      <c r="R3704" t="s">
        <v>8315</v>
      </c>
      <c r="S3704" s="14">
        <f t="shared" si="344"/>
        <v>42524.53800925926</v>
      </c>
      <c r="T3704" s="14">
        <f t="shared" si="345"/>
        <v>42561.957638888889</v>
      </c>
      <c r="U3704" s="64">
        <f t="shared" si="346"/>
        <v>37.419629629628616</v>
      </c>
      <c r="V3704" s="13" t="str">
        <f t="shared" si="347"/>
        <v>funded</v>
      </c>
    </row>
    <row r="3705" spans="1:22" ht="48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8314</v>
      </c>
      <c r="R3705" t="s">
        <v>8315</v>
      </c>
      <c r="S3705" s="14">
        <f t="shared" si="344"/>
        <v>42556.504490740743</v>
      </c>
      <c r="T3705" s="14">
        <f t="shared" si="345"/>
        <v>42595.290972222225</v>
      </c>
      <c r="U3705" s="64">
        <f t="shared" si="346"/>
        <v>38.786481481482042</v>
      </c>
      <c r="V3705" s="13" t="str">
        <f t="shared" si="347"/>
        <v>funded</v>
      </c>
    </row>
    <row r="3706" spans="1:22" ht="48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8314</v>
      </c>
      <c r="R3706" t="s">
        <v>8315</v>
      </c>
      <c r="S3706" s="14">
        <f t="shared" si="344"/>
        <v>42461.689745370371</v>
      </c>
      <c r="T3706" s="14">
        <f t="shared" si="345"/>
        <v>42521.689745370371</v>
      </c>
      <c r="U3706" s="64">
        <f t="shared" si="346"/>
        <v>60</v>
      </c>
      <c r="V3706" s="13" t="str">
        <f t="shared" si="347"/>
        <v>funded</v>
      </c>
    </row>
    <row r="3707" spans="1:22" ht="48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8314</v>
      </c>
      <c r="R3707" t="s">
        <v>8315</v>
      </c>
      <c r="S3707" s="14">
        <f t="shared" si="344"/>
        <v>41792.542986111112</v>
      </c>
      <c r="T3707" s="14">
        <f t="shared" si="345"/>
        <v>41813.75</v>
      </c>
      <c r="U3707" s="64">
        <f t="shared" si="346"/>
        <v>21.207013888888469</v>
      </c>
      <c r="V3707" s="13" t="str">
        <f t="shared" si="347"/>
        <v>funded</v>
      </c>
    </row>
    <row r="3708" spans="1:22" ht="48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8314</v>
      </c>
      <c r="R3708" t="s">
        <v>8315</v>
      </c>
      <c r="S3708" s="14">
        <f t="shared" si="344"/>
        <v>41879.913761574076</v>
      </c>
      <c r="T3708" s="14">
        <f t="shared" si="345"/>
        <v>41894.913761574076</v>
      </c>
      <c r="U3708" s="64">
        <f t="shared" si="346"/>
        <v>15</v>
      </c>
      <c r="V3708" s="13" t="str">
        <f t="shared" si="347"/>
        <v>funded</v>
      </c>
    </row>
    <row r="3709" spans="1:22" ht="3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8314</v>
      </c>
      <c r="R3709" t="s">
        <v>8315</v>
      </c>
      <c r="S3709" s="14">
        <f t="shared" si="344"/>
        <v>42552.048356481479</v>
      </c>
      <c r="T3709" s="14">
        <f t="shared" si="345"/>
        <v>42573.226388888885</v>
      </c>
      <c r="U3709" s="64">
        <f t="shared" si="346"/>
        <v>21.178032407406135</v>
      </c>
      <c r="V3709" s="13" t="str">
        <f t="shared" si="347"/>
        <v>funded</v>
      </c>
    </row>
    <row r="3710" spans="1:22" ht="48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8314</v>
      </c>
      <c r="R3710" t="s">
        <v>8315</v>
      </c>
      <c r="S3710" s="14">
        <f t="shared" si="344"/>
        <v>41810.142199074071</v>
      </c>
      <c r="T3710" s="14">
        <f t="shared" si="345"/>
        <v>41824.142199074071</v>
      </c>
      <c r="U3710" s="64">
        <f t="shared" si="346"/>
        <v>14</v>
      </c>
      <c r="V3710" s="13" t="str">
        <f t="shared" si="347"/>
        <v>funded</v>
      </c>
    </row>
    <row r="3711" spans="1:22" ht="48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8314</v>
      </c>
      <c r="R3711" t="s">
        <v>8315</v>
      </c>
      <c r="S3711" s="14">
        <f t="shared" si="344"/>
        <v>41785.707708333335</v>
      </c>
      <c r="T3711" s="14">
        <f t="shared" si="345"/>
        <v>41815.707708333335</v>
      </c>
      <c r="U3711" s="64">
        <f t="shared" si="346"/>
        <v>30</v>
      </c>
      <c r="V3711" s="13" t="str">
        <f t="shared" si="347"/>
        <v>funded</v>
      </c>
    </row>
    <row r="3712" spans="1:22" ht="3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8314</v>
      </c>
      <c r="R3712" t="s">
        <v>8315</v>
      </c>
      <c r="S3712" s="14">
        <f t="shared" si="344"/>
        <v>42072.576249999998</v>
      </c>
      <c r="T3712" s="14">
        <f t="shared" si="345"/>
        <v>42097.576249999998</v>
      </c>
      <c r="U3712" s="64">
        <f t="shared" si="346"/>
        <v>25</v>
      </c>
      <c r="V3712" s="13" t="str">
        <f t="shared" si="347"/>
        <v>funded</v>
      </c>
    </row>
    <row r="3713" spans="1:22" ht="3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8314</v>
      </c>
      <c r="R3713" t="s">
        <v>8315</v>
      </c>
      <c r="S3713" s="14">
        <f t="shared" si="344"/>
        <v>41779.724224537036</v>
      </c>
      <c r="T3713" s="14">
        <f t="shared" si="345"/>
        <v>41805.666666666664</v>
      </c>
      <c r="U3713" s="64">
        <f t="shared" si="346"/>
        <v>25.942442129628034</v>
      </c>
      <c r="V3713" s="13" t="str">
        <f t="shared" si="347"/>
        <v>funded</v>
      </c>
    </row>
    <row r="3714" spans="1:22" ht="48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154</v>
      </c>
      <c r="P3714">
        <f t="shared" si="343"/>
        <v>110.87</v>
      </c>
      <c r="Q3714" s="10" t="s">
        <v>8314</v>
      </c>
      <c r="R3714" t="s">
        <v>8315</v>
      </c>
      <c r="S3714" s="14">
        <f t="shared" si="344"/>
        <v>42134.172071759262</v>
      </c>
      <c r="T3714" s="14">
        <f t="shared" si="345"/>
        <v>42155.290972222225</v>
      </c>
      <c r="U3714" s="64">
        <f t="shared" si="346"/>
        <v>21.118900462963211</v>
      </c>
      <c r="V3714" s="13" t="str">
        <f t="shared" si="347"/>
        <v>funded</v>
      </c>
    </row>
    <row r="3715" spans="1:22" ht="48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>ROUND(E3715/D3715*100,0)</f>
        <v>102</v>
      </c>
      <c r="P3715">
        <f t="shared" ref="P3715:P3778" si="349">IFERROR(ROUND(E3715/L3715,2), 0)</f>
        <v>106.84</v>
      </c>
      <c r="Q3715" s="10" t="s">
        <v>8314</v>
      </c>
      <c r="R3715" t="s">
        <v>8315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 s="64">
        <f t="shared" ref="U3715:V3778" si="352">T3715-S3715</f>
        <v>20</v>
      </c>
      <c r="V3715" s="13" t="str">
        <f t="shared" ref="V3715:V3778" si="353">IF(E3715&gt;=D3715, "funded", "underfunded")</f>
        <v>funded</v>
      </c>
    </row>
    <row r="3716" spans="1:22" ht="48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8314</v>
      </c>
      <c r="R3716" t="s">
        <v>8315</v>
      </c>
      <c r="S3716" s="14">
        <f t="shared" si="350"/>
        <v>42118.556331018524</v>
      </c>
      <c r="T3716" s="14">
        <f t="shared" si="351"/>
        <v>42150.165972222225</v>
      </c>
      <c r="U3716" s="64">
        <f t="shared" si="352"/>
        <v>31.609641203700448</v>
      </c>
      <c r="V3716" s="13" t="str">
        <f t="shared" si="353"/>
        <v>funded</v>
      </c>
    </row>
    <row r="3717" spans="1:22" ht="48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8314</v>
      </c>
      <c r="R3717" t="s">
        <v>8315</v>
      </c>
      <c r="S3717" s="14">
        <f t="shared" si="350"/>
        <v>42036.995590277773</v>
      </c>
      <c r="T3717" s="14">
        <f t="shared" si="351"/>
        <v>42094.536111111112</v>
      </c>
      <c r="U3717" s="64">
        <f t="shared" si="352"/>
        <v>57.540520833339542</v>
      </c>
      <c r="V3717" s="13" t="str">
        <f t="shared" si="353"/>
        <v>funded</v>
      </c>
    </row>
    <row r="3718" spans="1:22" ht="48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8314</v>
      </c>
      <c r="R3718" t="s">
        <v>8315</v>
      </c>
      <c r="S3718" s="14">
        <f t="shared" si="350"/>
        <v>42360.887835648144</v>
      </c>
      <c r="T3718" s="14">
        <f t="shared" si="351"/>
        <v>42390.887835648144</v>
      </c>
      <c r="U3718" s="64">
        <f t="shared" si="352"/>
        <v>30</v>
      </c>
      <c r="V3718" s="13" t="str">
        <f t="shared" si="353"/>
        <v>funded</v>
      </c>
    </row>
    <row r="3719" spans="1:22" ht="48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8314</v>
      </c>
      <c r="R3719" t="s">
        <v>8315</v>
      </c>
      <c r="S3719" s="14">
        <f t="shared" si="350"/>
        <v>42102.866307870368</v>
      </c>
      <c r="T3719" s="14">
        <f t="shared" si="351"/>
        <v>42133.866307870368</v>
      </c>
      <c r="U3719" s="64">
        <f t="shared" si="352"/>
        <v>31</v>
      </c>
      <c r="V3719" s="13" t="str">
        <f t="shared" si="353"/>
        <v>funded</v>
      </c>
    </row>
    <row r="3720" spans="1:22" ht="48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8314</v>
      </c>
      <c r="R3720" t="s">
        <v>8315</v>
      </c>
      <c r="S3720" s="14">
        <f t="shared" si="350"/>
        <v>42032.716145833328</v>
      </c>
      <c r="T3720" s="14">
        <f t="shared" si="351"/>
        <v>42062.716145833328</v>
      </c>
      <c r="U3720" s="64">
        <f t="shared" si="352"/>
        <v>30</v>
      </c>
      <c r="V3720" s="13" t="str">
        <f t="shared" si="353"/>
        <v>funded</v>
      </c>
    </row>
    <row r="3721" spans="1:22" ht="3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8314</v>
      </c>
      <c r="R3721" t="s">
        <v>8315</v>
      </c>
      <c r="S3721" s="14">
        <f t="shared" si="350"/>
        <v>42147.729930555557</v>
      </c>
      <c r="T3721" s="14">
        <f t="shared" si="351"/>
        <v>42177.729930555557</v>
      </c>
      <c r="U3721" s="64">
        <f t="shared" si="352"/>
        <v>30</v>
      </c>
      <c r="V3721" s="13" t="str">
        <f t="shared" si="353"/>
        <v>funded</v>
      </c>
    </row>
    <row r="3722" spans="1:22" ht="3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8314</v>
      </c>
      <c r="R3722" t="s">
        <v>8315</v>
      </c>
      <c r="S3722" s="14">
        <f t="shared" si="350"/>
        <v>42165.993125000001</v>
      </c>
      <c r="T3722" s="14">
        <f t="shared" si="351"/>
        <v>42187.993125000001</v>
      </c>
      <c r="U3722" s="64">
        <f t="shared" si="352"/>
        <v>22</v>
      </c>
      <c r="V3722" s="13" t="str">
        <f t="shared" si="353"/>
        <v>funded</v>
      </c>
    </row>
    <row r="3723" spans="1:22" ht="48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8314</v>
      </c>
      <c r="R3723" t="s">
        <v>8315</v>
      </c>
      <c r="S3723" s="14">
        <f t="shared" si="350"/>
        <v>41927.936157407406</v>
      </c>
      <c r="T3723" s="14">
        <f t="shared" si="351"/>
        <v>41948.977824074071</v>
      </c>
      <c r="U3723" s="64">
        <f t="shared" si="352"/>
        <v>21.041666666664241</v>
      </c>
      <c r="V3723" s="13" t="str">
        <f t="shared" si="353"/>
        <v>funded</v>
      </c>
    </row>
    <row r="3724" spans="1:22" ht="6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8314</v>
      </c>
      <c r="R3724" t="s">
        <v>8315</v>
      </c>
      <c r="S3724" s="14">
        <f t="shared" si="350"/>
        <v>42381.671840277777</v>
      </c>
      <c r="T3724" s="14">
        <f t="shared" si="351"/>
        <v>42411.957638888889</v>
      </c>
      <c r="U3724" s="64">
        <f t="shared" si="352"/>
        <v>30.285798611112114</v>
      </c>
      <c r="V3724" s="13" t="str">
        <f t="shared" si="353"/>
        <v>funded</v>
      </c>
    </row>
    <row r="3725" spans="1:22" ht="3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8314</v>
      </c>
      <c r="R3725" t="s">
        <v>8315</v>
      </c>
      <c r="S3725" s="14">
        <f t="shared" si="350"/>
        <v>41943.753032407411</v>
      </c>
      <c r="T3725" s="14">
        <f t="shared" si="351"/>
        <v>41973.794699074075</v>
      </c>
      <c r="U3725" s="64">
        <f t="shared" si="352"/>
        <v>30.041666666664241</v>
      </c>
      <c r="V3725" s="13" t="str">
        <f t="shared" si="353"/>
        <v>funded</v>
      </c>
    </row>
    <row r="3726" spans="1:22" ht="48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8314</v>
      </c>
      <c r="R3726" t="s">
        <v>8315</v>
      </c>
      <c r="S3726" s="14">
        <f t="shared" si="350"/>
        <v>42465.491435185191</v>
      </c>
      <c r="T3726" s="14">
        <f t="shared" si="351"/>
        <v>42494.958333333328</v>
      </c>
      <c r="U3726" s="64">
        <f t="shared" si="352"/>
        <v>29.466898148137261</v>
      </c>
      <c r="V3726" s="13" t="str">
        <f t="shared" si="353"/>
        <v>funded</v>
      </c>
    </row>
    <row r="3727" spans="1:22" ht="48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8314</v>
      </c>
      <c r="R3727" t="s">
        <v>8315</v>
      </c>
      <c r="S3727" s="14">
        <f t="shared" si="350"/>
        <v>42401.945219907408</v>
      </c>
      <c r="T3727" s="14">
        <f t="shared" si="351"/>
        <v>42418.895833333328</v>
      </c>
      <c r="U3727" s="64">
        <f t="shared" si="352"/>
        <v>16.950613425920892</v>
      </c>
      <c r="V3727" s="13" t="str">
        <f t="shared" si="353"/>
        <v>funded</v>
      </c>
    </row>
    <row r="3728" spans="1:22" ht="48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8314</v>
      </c>
      <c r="R3728" t="s">
        <v>8315</v>
      </c>
      <c r="S3728" s="14">
        <f t="shared" si="350"/>
        <v>42462.140868055561</v>
      </c>
      <c r="T3728" s="14">
        <f t="shared" si="351"/>
        <v>42489.875</v>
      </c>
      <c r="U3728" s="64">
        <f t="shared" si="352"/>
        <v>27.734131944438559</v>
      </c>
      <c r="V3728" s="13" t="str">
        <f t="shared" si="353"/>
        <v>funded</v>
      </c>
    </row>
    <row r="3729" spans="1:22" ht="48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8314</v>
      </c>
      <c r="R3729" t="s">
        <v>8315</v>
      </c>
      <c r="S3729" s="14">
        <f t="shared" si="350"/>
        <v>42632.348310185189</v>
      </c>
      <c r="T3729" s="14">
        <f t="shared" si="351"/>
        <v>42663.204861111109</v>
      </c>
      <c r="U3729" s="64">
        <f t="shared" si="352"/>
        <v>30.856550925920601</v>
      </c>
      <c r="V3729" s="13" t="str">
        <f t="shared" si="353"/>
        <v>funded</v>
      </c>
    </row>
    <row r="3730" spans="1:22" ht="3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8314</v>
      </c>
      <c r="R3730" t="s">
        <v>8315</v>
      </c>
      <c r="S3730" s="14">
        <f t="shared" si="350"/>
        <v>42205.171018518522</v>
      </c>
      <c r="T3730" s="14">
        <f t="shared" si="351"/>
        <v>42235.171018518522</v>
      </c>
      <c r="U3730" s="64">
        <f t="shared" si="352"/>
        <v>30</v>
      </c>
      <c r="V3730" s="13" t="str">
        <f t="shared" si="353"/>
        <v>underfunded</v>
      </c>
    </row>
    <row r="3731" spans="1:22" ht="48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8314</v>
      </c>
      <c r="R3731" t="s">
        <v>8315</v>
      </c>
      <c r="S3731" s="14">
        <f t="shared" si="350"/>
        <v>42041.205000000002</v>
      </c>
      <c r="T3731" s="14">
        <f t="shared" si="351"/>
        <v>42086.16333333333</v>
      </c>
      <c r="U3731" s="64">
        <f t="shared" si="352"/>
        <v>44.958333333328483</v>
      </c>
      <c r="V3731" s="13" t="str">
        <f t="shared" si="353"/>
        <v>underfunded</v>
      </c>
    </row>
    <row r="3732" spans="1:22" ht="48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8314</v>
      </c>
      <c r="R3732" t="s">
        <v>8315</v>
      </c>
      <c r="S3732" s="14">
        <f t="shared" si="350"/>
        <v>42203.677766203706</v>
      </c>
      <c r="T3732" s="14">
        <f t="shared" si="351"/>
        <v>42233.677766203706</v>
      </c>
      <c r="U3732" s="64">
        <f t="shared" si="352"/>
        <v>30</v>
      </c>
      <c r="V3732" s="13" t="str">
        <f t="shared" si="353"/>
        <v>underfunded</v>
      </c>
    </row>
    <row r="3733" spans="1:22" ht="48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8314</v>
      </c>
      <c r="R3733" t="s">
        <v>8315</v>
      </c>
      <c r="S3733" s="14">
        <f t="shared" si="350"/>
        <v>41983.752847222218</v>
      </c>
      <c r="T3733" s="14">
        <f t="shared" si="351"/>
        <v>42014.140972222223</v>
      </c>
      <c r="U3733" s="64">
        <f t="shared" si="352"/>
        <v>30.388125000004948</v>
      </c>
      <c r="V3733" s="13" t="str">
        <f t="shared" si="353"/>
        <v>underfunded</v>
      </c>
    </row>
    <row r="3734" spans="1:22" ht="3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8314</v>
      </c>
      <c r="R3734" t="s">
        <v>8315</v>
      </c>
      <c r="S3734" s="14">
        <f t="shared" si="350"/>
        <v>41968.677465277782</v>
      </c>
      <c r="T3734" s="14">
        <f t="shared" si="351"/>
        <v>42028.5</v>
      </c>
      <c r="U3734" s="64">
        <f t="shared" si="352"/>
        <v>59.822534722217824</v>
      </c>
      <c r="V3734" s="13" t="str">
        <f t="shared" si="353"/>
        <v>underfunded</v>
      </c>
    </row>
    <row r="3735" spans="1:22" ht="48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0" t="s">
        <v>8314</v>
      </c>
      <c r="R3735" t="s">
        <v>8315</v>
      </c>
      <c r="S3735" s="14">
        <f t="shared" si="350"/>
        <v>42103.024398148147</v>
      </c>
      <c r="T3735" s="14">
        <f t="shared" si="351"/>
        <v>42112.9375</v>
      </c>
      <c r="U3735" s="64">
        <f t="shared" si="352"/>
        <v>9.9131018518528435</v>
      </c>
      <c r="V3735" s="13" t="str">
        <f t="shared" si="353"/>
        <v>underfunded</v>
      </c>
    </row>
    <row r="3736" spans="1:22" ht="48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8314</v>
      </c>
      <c r="R3736" t="s">
        <v>8315</v>
      </c>
      <c r="S3736" s="14">
        <f t="shared" si="350"/>
        <v>42089.901574074072</v>
      </c>
      <c r="T3736" s="14">
        <f t="shared" si="351"/>
        <v>42149.901574074072</v>
      </c>
      <c r="U3736" s="64">
        <f t="shared" si="352"/>
        <v>60</v>
      </c>
      <c r="V3736" s="13" t="str">
        <f t="shared" si="353"/>
        <v>underfunded</v>
      </c>
    </row>
    <row r="3737" spans="1:22" ht="3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8314</v>
      </c>
      <c r="R3737" t="s">
        <v>8315</v>
      </c>
      <c r="S3737" s="14">
        <f t="shared" si="350"/>
        <v>42122.693159722221</v>
      </c>
      <c r="T3737" s="14">
        <f t="shared" si="351"/>
        <v>42152.693159722221</v>
      </c>
      <c r="U3737" s="64">
        <f t="shared" si="352"/>
        <v>30</v>
      </c>
      <c r="V3737" s="13" t="str">
        <f t="shared" si="353"/>
        <v>underfunded</v>
      </c>
    </row>
    <row r="3738" spans="1:22" ht="48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8314</v>
      </c>
      <c r="R3738" t="s">
        <v>8315</v>
      </c>
      <c r="S3738" s="14">
        <f t="shared" si="350"/>
        <v>42048.711724537032</v>
      </c>
      <c r="T3738" s="14">
        <f t="shared" si="351"/>
        <v>42086.75</v>
      </c>
      <c r="U3738" s="64">
        <f t="shared" si="352"/>
        <v>38.038275462968159</v>
      </c>
      <c r="V3738" s="13" t="str">
        <f t="shared" si="353"/>
        <v>underfunded</v>
      </c>
    </row>
    <row r="3739" spans="1:22" ht="3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8314</v>
      </c>
      <c r="R3739" t="s">
        <v>8315</v>
      </c>
      <c r="S3739" s="14">
        <f t="shared" si="350"/>
        <v>42297.691006944442</v>
      </c>
      <c r="T3739" s="14">
        <f t="shared" si="351"/>
        <v>42320.290972222225</v>
      </c>
      <c r="U3739" s="64">
        <f t="shared" si="352"/>
        <v>22.599965277782758</v>
      </c>
      <c r="V3739" s="13" t="str">
        <f t="shared" si="353"/>
        <v>underfunded</v>
      </c>
    </row>
    <row r="3740" spans="1:22" ht="3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8314</v>
      </c>
      <c r="R3740" t="s">
        <v>8315</v>
      </c>
      <c r="S3740" s="14">
        <f t="shared" si="350"/>
        <v>41813.938715277778</v>
      </c>
      <c r="T3740" s="14">
        <f t="shared" si="351"/>
        <v>41835.916666666664</v>
      </c>
      <c r="U3740" s="64">
        <f t="shared" si="352"/>
        <v>21.97795138888614</v>
      </c>
      <c r="V3740" s="13" t="str">
        <f t="shared" si="353"/>
        <v>underfunded</v>
      </c>
    </row>
    <row r="3741" spans="1:22" ht="48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8314</v>
      </c>
      <c r="R3741" t="s">
        <v>8315</v>
      </c>
      <c r="S3741" s="14">
        <f t="shared" si="350"/>
        <v>42548.449861111112</v>
      </c>
      <c r="T3741" s="14">
        <f t="shared" si="351"/>
        <v>42568.449861111112</v>
      </c>
      <c r="U3741" s="64">
        <f t="shared" si="352"/>
        <v>20</v>
      </c>
      <c r="V3741" s="13" t="str">
        <f t="shared" si="353"/>
        <v>underfunded</v>
      </c>
    </row>
    <row r="3742" spans="1:22" ht="48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8314</v>
      </c>
      <c r="R3742" t="s">
        <v>8315</v>
      </c>
      <c r="S3742" s="14">
        <f t="shared" si="350"/>
        <v>41833.089756944442</v>
      </c>
      <c r="T3742" s="14">
        <f t="shared" si="351"/>
        <v>41863.079143518517</v>
      </c>
      <c r="U3742" s="64">
        <f t="shared" si="352"/>
        <v>29.98938657407416</v>
      </c>
      <c r="V3742" s="13" t="str">
        <f t="shared" si="353"/>
        <v>underfunded</v>
      </c>
    </row>
    <row r="3743" spans="1:22" ht="48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0" t="s">
        <v>8314</v>
      </c>
      <c r="R3743" t="s">
        <v>8315</v>
      </c>
      <c r="S3743" s="14">
        <f t="shared" si="350"/>
        <v>42325.920717592591</v>
      </c>
      <c r="T3743" s="14">
        <f t="shared" si="351"/>
        <v>42355.920717592591</v>
      </c>
      <c r="U3743" s="64">
        <f t="shared" si="352"/>
        <v>30</v>
      </c>
      <c r="V3743" s="13" t="str">
        <f t="shared" si="353"/>
        <v>underfunded</v>
      </c>
    </row>
    <row r="3744" spans="1:22" ht="48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8314</v>
      </c>
      <c r="R3744" t="s">
        <v>8315</v>
      </c>
      <c r="S3744" s="14">
        <f t="shared" si="350"/>
        <v>41858.214629629627</v>
      </c>
      <c r="T3744" s="14">
        <f t="shared" si="351"/>
        <v>41888.214629629627</v>
      </c>
      <c r="U3744" s="64">
        <f t="shared" si="352"/>
        <v>30</v>
      </c>
      <c r="V3744" s="13" t="str">
        <f t="shared" si="353"/>
        <v>underfunded</v>
      </c>
    </row>
    <row r="3745" spans="1:22" ht="3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0" t="s">
        <v>8314</v>
      </c>
      <c r="R3745" t="s">
        <v>8315</v>
      </c>
      <c r="S3745" s="14">
        <f t="shared" si="350"/>
        <v>41793.710231481484</v>
      </c>
      <c r="T3745" s="14">
        <f t="shared" si="351"/>
        <v>41823.710231481484</v>
      </c>
      <c r="U3745" s="64">
        <f t="shared" si="352"/>
        <v>30</v>
      </c>
      <c r="V3745" s="13" t="str">
        <f t="shared" si="353"/>
        <v>underfunded</v>
      </c>
    </row>
    <row r="3746" spans="1:22" ht="48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0" t="s">
        <v>8314</v>
      </c>
      <c r="R3746" t="s">
        <v>8315</v>
      </c>
      <c r="S3746" s="14">
        <f t="shared" si="350"/>
        <v>41793.814259259263</v>
      </c>
      <c r="T3746" s="14">
        <f t="shared" si="351"/>
        <v>41825.165972222225</v>
      </c>
      <c r="U3746" s="64">
        <f t="shared" si="352"/>
        <v>31.351712962961756</v>
      </c>
      <c r="V3746" s="13" t="str">
        <f t="shared" si="353"/>
        <v>underfunded</v>
      </c>
    </row>
    <row r="3747" spans="1:22" ht="48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8314</v>
      </c>
      <c r="R3747" t="s">
        <v>8315</v>
      </c>
      <c r="S3747" s="14">
        <f t="shared" si="350"/>
        <v>41831.697939814818</v>
      </c>
      <c r="T3747" s="14">
        <f t="shared" si="351"/>
        <v>41861.697939814818</v>
      </c>
      <c r="U3747" s="64">
        <f t="shared" si="352"/>
        <v>30</v>
      </c>
      <c r="V3747" s="13" t="str">
        <f t="shared" si="353"/>
        <v>underfunded</v>
      </c>
    </row>
    <row r="3748" spans="1:22" ht="16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8314</v>
      </c>
      <c r="R3748" t="s">
        <v>8315</v>
      </c>
      <c r="S3748" s="14">
        <f t="shared" si="350"/>
        <v>42621.389340277776</v>
      </c>
      <c r="T3748" s="14">
        <f t="shared" si="351"/>
        <v>42651.389340277776</v>
      </c>
      <c r="U3748" s="64">
        <f t="shared" si="352"/>
        <v>30</v>
      </c>
      <c r="V3748" s="13" t="str">
        <f t="shared" si="353"/>
        <v>underfunded</v>
      </c>
    </row>
    <row r="3749" spans="1:22" ht="3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8314</v>
      </c>
      <c r="R3749" t="s">
        <v>8315</v>
      </c>
      <c r="S3749" s="14">
        <f t="shared" si="350"/>
        <v>42164.299722222218</v>
      </c>
      <c r="T3749" s="14">
        <f t="shared" si="351"/>
        <v>42190.957638888889</v>
      </c>
      <c r="U3749" s="64">
        <f t="shared" si="352"/>
        <v>26.657916666670644</v>
      </c>
      <c r="V3749" s="13" t="str">
        <f t="shared" si="353"/>
        <v>underfunded</v>
      </c>
    </row>
    <row r="3750" spans="1:22" ht="48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8314</v>
      </c>
      <c r="R3750" t="s">
        <v>8356</v>
      </c>
      <c r="S3750" s="14">
        <f t="shared" si="350"/>
        <v>42395.706435185188</v>
      </c>
      <c r="T3750" s="14">
        <f t="shared" si="351"/>
        <v>42416.249305555553</v>
      </c>
      <c r="U3750" s="64">
        <f t="shared" si="352"/>
        <v>20.542870370365563</v>
      </c>
      <c r="V3750" s="13" t="str">
        <f t="shared" si="353"/>
        <v>funded</v>
      </c>
    </row>
    <row r="3751" spans="1:22" ht="48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8314</v>
      </c>
      <c r="R3751" t="s">
        <v>8356</v>
      </c>
      <c r="S3751" s="14">
        <f t="shared" si="350"/>
        <v>42458.127175925925</v>
      </c>
      <c r="T3751" s="14">
        <f t="shared" si="351"/>
        <v>42489.165972222225</v>
      </c>
      <c r="U3751" s="64">
        <f t="shared" si="352"/>
        <v>31.038796296299552</v>
      </c>
      <c r="V3751" s="13" t="str">
        <f t="shared" si="353"/>
        <v>funded</v>
      </c>
    </row>
    <row r="3752" spans="1:22" ht="96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8314</v>
      </c>
      <c r="R3752" t="s">
        <v>8356</v>
      </c>
      <c r="S3752" s="14">
        <f t="shared" si="350"/>
        <v>42016.981574074074</v>
      </c>
      <c r="T3752" s="14">
        <f t="shared" si="351"/>
        <v>42045.332638888889</v>
      </c>
      <c r="U3752" s="64">
        <f t="shared" si="352"/>
        <v>28.35106481481489</v>
      </c>
      <c r="V3752" s="13" t="str">
        <f t="shared" si="353"/>
        <v>funded</v>
      </c>
    </row>
    <row r="3753" spans="1:22" ht="48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8314</v>
      </c>
      <c r="R3753" t="s">
        <v>8356</v>
      </c>
      <c r="S3753" s="14">
        <f t="shared" si="350"/>
        <v>42403.035567129627</v>
      </c>
      <c r="T3753" s="14">
        <f t="shared" si="351"/>
        <v>42462.993900462956</v>
      </c>
      <c r="U3753" s="64">
        <f t="shared" si="352"/>
        <v>59.958333333328483</v>
      </c>
      <c r="V3753" s="13" t="str">
        <f t="shared" si="353"/>
        <v>funded</v>
      </c>
    </row>
    <row r="3754" spans="1:22" ht="6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8314</v>
      </c>
      <c r="R3754" t="s">
        <v>8356</v>
      </c>
      <c r="S3754" s="14">
        <f t="shared" si="350"/>
        <v>42619.802488425921</v>
      </c>
      <c r="T3754" s="14">
        <f t="shared" si="351"/>
        <v>42659.875</v>
      </c>
      <c r="U3754" s="64">
        <f t="shared" si="352"/>
        <v>40.072511574078817</v>
      </c>
      <c r="V3754" s="13" t="str">
        <f t="shared" si="353"/>
        <v>funded</v>
      </c>
    </row>
    <row r="3755" spans="1:22" ht="48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8314</v>
      </c>
      <c r="R3755" t="s">
        <v>8356</v>
      </c>
      <c r="S3755" s="14">
        <f t="shared" si="350"/>
        <v>42128.824074074073</v>
      </c>
      <c r="T3755" s="14">
        <f t="shared" si="351"/>
        <v>42158</v>
      </c>
      <c r="U3755" s="64">
        <f t="shared" si="352"/>
        <v>29.175925925927004</v>
      </c>
      <c r="V3755" s="13" t="str">
        <f t="shared" si="353"/>
        <v>funded</v>
      </c>
    </row>
    <row r="3756" spans="1:22" ht="48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8314</v>
      </c>
      <c r="R3756" t="s">
        <v>8356</v>
      </c>
      <c r="S3756" s="14">
        <f t="shared" si="350"/>
        <v>41808.881215277775</v>
      </c>
      <c r="T3756" s="14">
        <f t="shared" si="351"/>
        <v>41846.207638888889</v>
      </c>
      <c r="U3756" s="64">
        <f t="shared" si="352"/>
        <v>37.326423611113569</v>
      </c>
      <c r="V3756" s="13" t="str">
        <f t="shared" si="353"/>
        <v>funded</v>
      </c>
    </row>
    <row r="3757" spans="1:22" ht="48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8314</v>
      </c>
      <c r="R3757" t="s">
        <v>8356</v>
      </c>
      <c r="S3757" s="14">
        <f t="shared" si="350"/>
        <v>42445.866979166662</v>
      </c>
      <c r="T3757" s="14">
        <f t="shared" si="351"/>
        <v>42475.866979166662</v>
      </c>
      <c r="U3757" s="64">
        <f t="shared" si="352"/>
        <v>30</v>
      </c>
      <c r="V3757" s="13" t="str">
        <f t="shared" si="353"/>
        <v>funded</v>
      </c>
    </row>
    <row r="3758" spans="1:22" ht="48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8314</v>
      </c>
      <c r="R3758" t="s">
        <v>8356</v>
      </c>
      <c r="S3758" s="14">
        <f t="shared" si="350"/>
        <v>41771.814791666664</v>
      </c>
      <c r="T3758" s="14">
        <f t="shared" si="351"/>
        <v>41801.814791666664</v>
      </c>
      <c r="U3758" s="64">
        <f t="shared" si="352"/>
        <v>30</v>
      </c>
      <c r="V3758" s="13" t="str">
        <f t="shared" si="353"/>
        <v>funded</v>
      </c>
    </row>
    <row r="3759" spans="1:22" ht="48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8314</v>
      </c>
      <c r="R3759" t="s">
        <v>8356</v>
      </c>
      <c r="S3759" s="14">
        <f t="shared" si="350"/>
        <v>41954.850868055553</v>
      </c>
      <c r="T3759" s="14">
        <f t="shared" si="351"/>
        <v>41974.850868055553</v>
      </c>
      <c r="U3759" s="64">
        <f t="shared" si="352"/>
        <v>20</v>
      </c>
      <c r="V3759" s="13" t="str">
        <f t="shared" si="353"/>
        <v>funded</v>
      </c>
    </row>
    <row r="3760" spans="1:22" ht="3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8314</v>
      </c>
      <c r="R3760" t="s">
        <v>8356</v>
      </c>
      <c r="S3760" s="14">
        <f t="shared" si="350"/>
        <v>41747.471504629626</v>
      </c>
      <c r="T3760" s="14">
        <f t="shared" si="351"/>
        <v>41778.208333333336</v>
      </c>
      <c r="U3760" s="64">
        <f t="shared" si="352"/>
        <v>30.736828703709762</v>
      </c>
      <c r="V3760" s="13" t="str">
        <f t="shared" si="353"/>
        <v>funded</v>
      </c>
    </row>
    <row r="3761" spans="1:22" ht="3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8314</v>
      </c>
      <c r="R3761" t="s">
        <v>8356</v>
      </c>
      <c r="S3761" s="14">
        <f t="shared" si="350"/>
        <v>42182.108252314814</v>
      </c>
      <c r="T3761" s="14">
        <f t="shared" si="351"/>
        <v>42242.108252314814</v>
      </c>
      <c r="U3761" s="64">
        <f t="shared" si="352"/>
        <v>60</v>
      </c>
      <c r="V3761" s="13" t="str">
        <f t="shared" si="353"/>
        <v>funded</v>
      </c>
    </row>
    <row r="3762" spans="1:22" ht="48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8314</v>
      </c>
      <c r="R3762" t="s">
        <v>8356</v>
      </c>
      <c r="S3762" s="14">
        <f t="shared" si="350"/>
        <v>41739.525300925925</v>
      </c>
      <c r="T3762" s="14">
        <f t="shared" si="351"/>
        <v>41764.525300925925</v>
      </c>
      <c r="U3762" s="64">
        <f t="shared" si="352"/>
        <v>25</v>
      </c>
      <c r="V3762" s="13" t="str">
        <f t="shared" si="353"/>
        <v>funded</v>
      </c>
    </row>
    <row r="3763" spans="1:22" ht="4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8314</v>
      </c>
      <c r="R3763" t="s">
        <v>8356</v>
      </c>
      <c r="S3763" s="14">
        <f t="shared" si="350"/>
        <v>42173.466863425929</v>
      </c>
      <c r="T3763" s="14">
        <f t="shared" si="351"/>
        <v>42226.958333333328</v>
      </c>
      <c r="U3763" s="64">
        <f t="shared" si="352"/>
        <v>53.491469907399733</v>
      </c>
      <c r="V3763" s="13" t="str">
        <f t="shared" si="353"/>
        <v>funded</v>
      </c>
    </row>
    <row r="3764" spans="1:22" ht="48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8314</v>
      </c>
      <c r="R3764" t="s">
        <v>8356</v>
      </c>
      <c r="S3764" s="14">
        <f t="shared" si="350"/>
        <v>42193.813530092593</v>
      </c>
      <c r="T3764" s="14">
        <f t="shared" si="351"/>
        <v>42218.813530092593</v>
      </c>
      <c r="U3764" s="64">
        <f t="shared" si="352"/>
        <v>25</v>
      </c>
      <c r="V3764" s="13" t="str">
        <f t="shared" si="353"/>
        <v>funded</v>
      </c>
    </row>
    <row r="3765" spans="1:22" ht="3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8314</v>
      </c>
      <c r="R3765" t="s">
        <v>8356</v>
      </c>
      <c r="S3765" s="14">
        <f t="shared" si="350"/>
        <v>42065.750300925924</v>
      </c>
      <c r="T3765" s="14">
        <f t="shared" si="351"/>
        <v>42095.708634259259</v>
      </c>
      <c r="U3765" s="64">
        <f t="shared" si="352"/>
        <v>29.958333333335759</v>
      </c>
      <c r="V3765" s="13" t="str">
        <f t="shared" si="353"/>
        <v>funded</v>
      </c>
    </row>
    <row r="3766" spans="1:22" ht="48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8314</v>
      </c>
      <c r="R3766" t="s">
        <v>8356</v>
      </c>
      <c r="S3766" s="14">
        <f t="shared" si="350"/>
        <v>42499.842962962968</v>
      </c>
      <c r="T3766" s="14">
        <f t="shared" si="351"/>
        <v>42519.024999999994</v>
      </c>
      <c r="U3766" s="64">
        <f t="shared" si="352"/>
        <v>19.182037037026021</v>
      </c>
      <c r="V3766" s="13" t="str">
        <f t="shared" si="353"/>
        <v>funded</v>
      </c>
    </row>
    <row r="3767" spans="1:22" ht="48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8314</v>
      </c>
      <c r="R3767" t="s">
        <v>8356</v>
      </c>
      <c r="S3767" s="14">
        <f t="shared" si="350"/>
        <v>41820.776412037041</v>
      </c>
      <c r="T3767" s="14">
        <f t="shared" si="351"/>
        <v>41850.776412037041</v>
      </c>
      <c r="U3767" s="64">
        <f t="shared" si="352"/>
        <v>30</v>
      </c>
      <c r="V3767" s="13" t="str">
        <f t="shared" si="353"/>
        <v>funded</v>
      </c>
    </row>
    <row r="3768" spans="1:22" ht="3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8314</v>
      </c>
      <c r="R3768" t="s">
        <v>8356</v>
      </c>
      <c r="S3768" s="14">
        <f t="shared" si="350"/>
        <v>41788.167187500003</v>
      </c>
      <c r="T3768" s="14">
        <f t="shared" si="351"/>
        <v>41823.167187500003</v>
      </c>
      <c r="U3768" s="64">
        <f t="shared" si="352"/>
        <v>35</v>
      </c>
      <c r="V3768" s="13" t="str">
        <f t="shared" si="353"/>
        <v>funded</v>
      </c>
    </row>
    <row r="3769" spans="1:22" ht="48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8314</v>
      </c>
      <c r="R3769" t="s">
        <v>8356</v>
      </c>
      <c r="S3769" s="14">
        <f t="shared" si="350"/>
        <v>42050.019641203704</v>
      </c>
      <c r="T3769" s="14">
        <f t="shared" si="351"/>
        <v>42064.207638888889</v>
      </c>
      <c r="U3769" s="64">
        <f t="shared" si="352"/>
        <v>14.18799768518511</v>
      </c>
      <c r="V3769" s="13" t="str">
        <f t="shared" si="353"/>
        <v>funded</v>
      </c>
    </row>
    <row r="3770" spans="1:22" ht="48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8314</v>
      </c>
      <c r="R3770" t="s">
        <v>8356</v>
      </c>
      <c r="S3770" s="14">
        <f t="shared" si="350"/>
        <v>41772.727893518517</v>
      </c>
      <c r="T3770" s="14">
        <f t="shared" si="351"/>
        <v>41802.727893518517</v>
      </c>
      <c r="U3770" s="64">
        <f t="shared" si="352"/>
        <v>30</v>
      </c>
      <c r="V3770" s="13" t="str">
        <f t="shared" si="353"/>
        <v>funded</v>
      </c>
    </row>
    <row r="3771" spans="1:22" ht="48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8314</v>
      </c>
      <c r="R3771" t="s">
        <v>8356</v>
      </c>
      <c r="S3771" s="14">
        <f t="shared" si="350"/>
        <v>42445.598136574074</v>
      </c>
      <c r="T3771" s="14">
        <f t="shared" si="351"/>
        <v>42475.598136574074</v>
      </c>
      <c r="U3771" s="64">
        <f t="shared" si="352"/>
        <v>30</v>
      </c>
      <c r="V3771" s="13" t="str">
        <f t="shared" si="353"/>
        <v>funded</v>
      </c>
    </row>
    <row r="3772" spans="1:22" ht="48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8314</v>
      </c>
      <c r="R3772" t="s">
        <v>8356</v>
      </c>
      <c r="S3772" s="14">
        <f t="shared" si="350"/>
        <v>42138.930671296301</v>
      </c>
      <c r="T3772" s="14">
        <f t="shared" si="351"/>
        <v>42168.930671296301</v>
      </c>
      <c r="U3772" s="64">
        <f t="shared" si="352"/>
        <v>30</v>
      </c>
      <c r="V3772" s="13" t="str">
        <f t="shared" si="353"/>
        <v>funded</v>
      </c>
    </row>
    <row r="3773" spans="1:22" ht="3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8314</v>
      </c>
      <c r="R3773" t="s">
        <v>8356</v>
      </c>
      <c r="S3773" s="14">
        <f t="shared" si="350"/>
        <v>42493.857083333336</v>
      </c>
      <c r="T3773" s="14">
        <f t="shared" si="351"/>
        <v>42508</v>
      </c>
      <c r="U3773" s="64">
        <f t="shared" si="352"/>
        <v>14.14291666666395</v>
      </c>
      <c r="V3773" s="13" t="str">
        <f t="shared" si="353"/>
        <v>funded</v>
      </c>
    </row>
    <row r="3774" spans="1:22" ht="48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8314</v>
      </c>
      <c r="R3774" t="s">
        <v>8356</v>
      </c>
      <c r="S3774" s="14">
        <f t="shared" si="350"/>
        <v>42682.616967592592</v>
      </c>
      <c r="T3774" s="14">
        <f t="shared" si="351"/>
        <v>42703.25</v>
      </c>
      <c r="U3774" s="64">
        <f t="shared" si="352"/>
        <v>20.633032407407882</v>
      </c>
      <c r="V3774" s="13" t="str">
        <f t="shared" si="353"/>
        <v>funded</v>
      </c>
    </row>
    <row r="3775" spans="1:22" ht="3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8314</v>
      </c>
      <c r="R3775" t="s">
        <v>8356</v>
      </c>
      <c r="S3775" s="14">
        <f t="shared" si="350"/>
        <v>42656.005173611105</v>
      </c>
      <c r="T3775" s="14">
        <f t="shared" si="351"/>
        <v>42689.088888888888</v>
      </c>
      <c r="U3775" s="64">
        <f t="shared" si="352"/>
        <v>33.083715277782176</v>
      </c>
      <c r="V3775" s="13" t="str">
        <f t="shared" si="353"/>
        <v>funded</v>
      </c>
    </row>
    <row r="3776" spans="1:22" ht="48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8314</v>
      </c>
      <c r="R3776" t="s">
        <v>8356</v>
      </c>
      <c r="S3776" s="14">
        <f t="shared" si="350"/>
        <v>42087.792303240742</v>
      </c>
      <c r="T3776" s="14">
        <f t="shared" si="351"/>
        <v>42103.792303240742</v>
      </c>
      <c r="U3776" s="64">
        <f t="shared" si="352"/>
        <v>16</v>
      </c>
      <c r="V3776" s="13" t="str">
        <f t="shared" si="353"/>
        <v>funded</v>
      </c>
    </row>
    <row r="3777" spans="1:22" ht="48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8314</v>
      </c>
      <c r="R3777" t="s">
        <v>8356</v>
      </c>
      <c r="S3777" s="14">
        <f t="shared" si="350"/>
        <v>42075.942627314813</v>
      </c>
      <c r="T3777" s="14">
        <f t="shared" si="351"/>
        <v>42103.166666666672</v>
      </c>
      <c r="U3777" s="64">
        <f t="shared" si="352"/>
        <v>27.224039351858664</v>
      </c>
      <c r="V3777" s="13" t="str">
        <f t="shared" si="353"/>
        <v>funded</v>
      </c>
    </row>
    <row r="3778" spans="1:22" ht="6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107</v>
      </c>
      <c r="P3778">
        <f t="shared" si="349"/>
        <v>90.82</v>
      </c>
      <c r="Q3778" s="10" t="s">
        <v>8314</v>
      </c>
      <c r="R3778" t="s">
        <v>8356</v>
      </c>
      <c r="S3778" s="14">
        <f t="shared" si="350"/>
        <v>41814.367800925924</v>
      </c>
      <c r="T3778" s="14">
        <f t="shared" si="351"/>
        <v>41852.041666666664</v>
      </c>
      <c r="U3778" s="64">
        <f t="shared" si="352"/>
        <v>37.673865740740439</v>
      </c>
      <c r="V3778" s="13" t="str">
        <f t="shared" si="353"/>
        <v>funded</v>
      </c>
    </row>
    <row r="3779" spans="1:22" ht="48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>ROUND(E3779/D3779*100,0)</f>
        <v>143</v>
      </c>
      <c r="P3779">
        <f t="shared" ref="P3779:P3842" si="355">IFERROR(ROUND(E3779/L3779,2), 0)</f>
        <v>48.54</v>
      </c>
      <c r="Q3779" s="10" t="s">
        <v>8314</v>
      </c>
      <c r="R3779" t="s">
        <v>8356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 s="64">
        <f t="shared" ref="U3779:V3842" si="358">T3779-S3779</f>
        <v>22.055312499993306</v>
      </c>
      <c r="V3779" s="13" t="str">
        <f t="shared" ref="V3779:V3842" si="359">IF(E3779&gt;=D3779, "funded", "underfunded")</f>
        <v>funded</v>
      </c>
    </row>
    <row r="3780" spans="1:22" ht="3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8314</v>
      </c>
      <c r="R3780" t="s">
        <v>8356</v>
      </c>
      <c r="S3780" s="14">
        <f t="shared" si="356"/>
        <v>41989.819212962961</v>
      </c>
      <c r="T3780" s="14">
        <f t="shared" si="357"/>
        <v>42049.819212962961</v>
      </c>
      <c r="U3780" s="64">
        <f t="shared" si="358"/>
        <v>60</v>
      </c>
      <c r="V3780" s="13" t="str">
        <f t="shared" si="359"/>
        <v>funded</v>
      </c>
    </row>
    <row r="3781" spans="1:22" ht="3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8314</v>
      </c>
      <c r="R3781" t="s">
        <v>8356</v>
      </c>
      <c r="S3781" s="14">
        <f t="shared" si="356"/>
        <v>42425.735416666663</v>
      </c>
      <c r="T3781" s="14">
        <f t="shared" si="357"/>
        <v>42455.693750000006</v>
      </c>
      <c r="U3781" s="64">
        <f t="shared" si="358"/>
        <v>29.958333333343035</v>
      </c>
      <c r="V3781" s="13" t="str">
        <f t="shared" si="359"/>
        <v>funded</v>
      </c>
    </row>
    <row r="3782" spans="1:22" ht="48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8314</v>
      </c>
      <c r="R3782" t="s">
        <v>8356</v>
      </c>
      <c r="S3782" s="14">
        <f t="shared" si="356"/>
        <v>42166.219733796301</v>
      </c>
      <c r="T3782" s="14">
        <f t="shared" si="357"/>
        <v>42198.837499999994</v>
      </c>
      <c r="U3782" s="64">
        <f t="shared" si="358"/>
        <v>32.617766203693463</v>
      </c>
      <c r="V3782" s="13" t="str">
        <f t="shared" si="359"/>
        <v>funded</v>
      </c>
    </row>
    <row r="3783" spans="1:22" ht="48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8314</v>
      </c>
      <c r="R3783" t="s">
        <v>8356</v>
      </c>
      <c r="S3783" s="14">
        <f t="shared" si="356"/>
        <v>41865.882928240739</v>
      </c>
      <c r="T3783" s="14">
        <f t="shared" si="357"/>
        <v>41890.882928240739</v>
      </c>
      <c r="U3783" s="64">
        <f t="shared" si="358"/>
        <v>25</v>
      </c>
      <c r="V3783" s="13" t="str">
        <f t="shared" si="359"/>
        <v>funded</v>
      </c>
    </row>
    <row r="3784" spans="1:22" ht="48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8314</v>
      </c>
      <c r="R3784" t="s">
        <v>8356</v>
      </c>
      <c r="S3784" s="14">
        <f t="shared" si="356"/>
        <v>42546.862233796302</v>
      </c>
      <c r="T3784" s="14">
        <f t="shared" si="357"/>
        <v>42575.958333333328</v>
      </c>
      <c r="U3784" s="64">
        <f t="shared" si="358"/>
        <v>29.096099537026021</v>
      </c>
      <c r="V3784" s="13" t="str">
        <f t="shared" si="359"/>
        <v>funded</v>
      </c>
    </row>
    <row r="3785" spans="1:22" ht="48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8314</v>
      </c>
      <c r="R3785" t="s">
        <v>8356</v>
      </c>
      <c r="S3785" s="14">
        <f t="shared" si="356"/>
        <v>42420.140277777777</v>
      </c>
      <c r="T3785" s="14">
        <f t="shared" si="357"/>
        <v>42444.666666666672</v>
      </c>
      <c r="U3785" s="64">
        <f t="shared" si="358"/>
        <v>24.526388888894871</v>
      </c>
      <c r="V3785" s="13" t="str">
        <f t="shared" si="359"/>
        <v>funded</v>
      </c>
    </row>
    <row r="3786" spans="1:22" ht="48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8314</v>
      </c>
      <c r="R3786" t="s">
        <v>8356</v>
      </c>
      <c r="S3786" s="14">
        <f t="shared" si="356"/>
        <v>42531.980694444443</v>
      </c>
      <c r="T3786" s="14">
        <f t="shared" si="357"/>
        <v>42561.980694444443</v>
      </c>
      <c r="U3786" s="64">
        <f t="shared" si="358"/>
        <v>30</v>
      </c>
      <c r="V3786" s="13" t="str">
        <f t="shared" si="359"/>
        <v>funded</v>
      </c>
    </row>
    <row r="3787" spans="1:22" ht="48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8314</v>
      </c>
      <c r="R3787" t="s">
        <v>8356</v>
      </c>
      <c r="S3787" s="14">
        <f t="shared" si="356"/>
        <v>42548.63853009259</v>
      </c>
      <c r="T3787" s="14">
        <f t="shared" si="357"/>
        <v>42584.418749999997</v>
      </c>
      <c r="U3787" s="64">
        <f t="shared" si="358"/>
        <v>35.780219907406718</v>
      </c>
      <c r="V3787" s="13" t="str">
        <f t="shared" si="359"/>
        <v>funded</v>
      </c>
    </row>
    <row r="3788" spans="1:22" ht="48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8314</v>
      </c>
      <c r="R3788" t="s">
        <v>8356</v>
      </c>
      <c r="S3788" s="14">
        <f t="shared" si="356"/>
        <v>42487.037905092591</v>
      </c>
      <c r="T3788" s="14">
        <f t="shared" si="357"/>
        <v>42517.037905092591</v>
      </c>
      <c r="U3788" s="64">
        <f t="shared" si="358"/>
        <v>30</v>
      </c>
      <c r="V3788" s="13" t="str">
        <f t="shared" si="359"/>
        <v>funded</v>
      </c>
    </row>
    <row r="3789" spans="1:22" ht="48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8314</v>
      </c>
      <c r="R3789" t="s">
        <v>8356</v>
      </c>
      <c r="S3789" s="14">
        <f t="shared" si="356"/>
        <v>42167.534791666665</v>
      </c>
      <c r="T3789" s="14">
        <f t="shared" si="357"/>
        <v>42196.165972222225</v>
      </c>
      <c r="U3789" s="64">
        <f t="shared" si="358"/>
        <v>28.631180555559695</v>
      </c>
      <c r="V3789" s="13" t="str">
        <f t="shared" si="359"/>
        <v>funded</v>
      </c>
    </row>
    <row r="3790" spans="1:22" ht="80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8314</v>
      </c>
      <c r="R3790" t="s">
        <v>8356</v>
      </c>
      <c r="S3790" s="14">
        <f t="shared" si="356"/>
        <v>42333.695821759262</v>
      </c>
      <c r="T3790" s="14">
        <f t="shared" si="357"/>
        <v>42361.679166666669</v>
      </c>
      <c r="U3790" s="64">
        <f t="shared" si="358"/>
        <v>27.983344907406718</v>
      </c>
      <c r="V3790" s="13" t="str">
        <f t="shared" si="359"/>
        <v>underfunded</v>
      </c>
    </row>
    <row r="3791" spans="1:22" ht="48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8314</v>
      </c>
      <c r="R3791" t="s">
        <v>8356</v>
      </c>
      <c r="S3791" s="14">
        <f t="shared" si="356"/>
        <v>42138.798819444448</v>
      </c>
      <c r="T3791" s="14">
        <f t="shared" si="357"/>
        <v>42170.798819444448</v>
      </c>
      <c r="U3791" s="64">
        <f t="shared" si="358"/>
        <v>32</v>
      </c>
      <c r="V3791" s="13" t="str">
        <f t="shared" si="359"/>
        <v>underfunded</v>
      </c>
    </row>
    <row r="3792" spans="1:22" ht="48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0" t="s">
        <v>8314</v>
      </c>
      <c r="R3792" t="s">
        <v>8356</v>
      </c>
      <c r="S3792" s="14">
        <f t="shared" si="356"/>
        <v>42666.666932870372</v>
      </c>
      <c r="T3792" s="14">
        <f t="shared" si="357"/>
        <v>42696.708599537036</v>
      </c>
      <c r="U3792" s="64">
        <f t="shared" si="358"/>
        <v>30.041666666664241</v>
      </c>
      <c r="V3792" s="13" t="str">
        <f t="shared" si="359"/>
        <v>underfunded</v>
      </c>
    </row>
    <row r="3793" spans="1:22" ht="3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0" t="s">
        <v>8314</v>
      </c>
      <c r="R3793" t="s">
        <v>8356</v>
      </c>
      <c r="S3793" s="14">
        <f t="shared" si="356"/>
        <v>41766.692037037035</v>
      </c>
      <c r="T3793" s="14">
        <f t="shared" si="357"/>
        <v>41826.692037037035</v>
      </c>
      <c r="U3793" s="64">
        <f t="shared" si="358"/>
        <v>60</v>
      </c>
      <c r="V3793" s="13" t="str">
        <f t="shared" si="359"/>
        <v>underfunded</v>
      </c>
    </row>
    <row r="3794" spans="1:22" ht="3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0" t="s">
        <v>8314</v>
      </c>
      <c r="R3794" t="s">
        <v>8356</v>
      </c>
      <c r="S3794" s="14">
        <f t="shared" si="356"/>
        <v>42170.447013888886</v>
      </c>
      <c r="T3794" s="14">
        <f t="shared" si="357"/>
        <v>42200.447013888886</v>
      </c>
      <c r="U3794" s="64">
        <f t="shared" si="358"/>
        <v>30</v>
      </c>
      <c r="V3794" s="13" t="str">
        <f t="shared" si="359"/>
        <v>underfunded</v>
      </c>
    </row>
    <row r="3795" spans="1:22" ht="48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8314</v>
      </c>
      <c r="R3795" t="s">
        <v>8356</v>
      </c>
      <c r="S3795" s="14">
        <f t="shared" si="356"/>
        <v>41968.938993055555</v>
      </c>
      <c r="T3795" s="14">
        <f t="shared" si="357"/>
        <v>41989.938993055555</v>
      </c>
      <c r="U3795" s="64">
        <f t="shared" si="358"/>
        <v>21</v>
      </c>
      <c r="V3795" s="13" t="str">
        <f t="shared" si="359"/>
        <v>underfunded</v>
      </c>
    </row>
    <row r="3796" spans="1:22" ht="4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8314</v>
      </c>
      <c r="R3796" t="s">
        <v>8356</v>
      </c>
      <c r="S3796" s="14">
        <f t="shared" si="356"/>
        <v>42132.58048611111</v>
      </c>
      <c r="T3796" s="14">
        <f t="shared" si="357"/>
        <v>42162.58048611111</v>
      </c>
      <c r="U3796" s="64">
        <f t="shared" si="358"/>
        <v>30</v>
      </c>
      <c r="V3796" s="13" t="str">
        <f t="shared" si="359"/>
        <v>underfunded</v>
      </c>
    </row>
    <row r="3797" spans="1:22" ht="48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8314</v>
      </c>
      <c r="R3797" t="s">
        <v>8356</v>
      </c>
      <c r="S3797" s="14">
        <f t="shared" si="356"/>
        <v>42201.436226851853</v>
      </c>
      <c r="T3797" s="14">
        <f t="shared" si="357"/>
        <v>42244.9375</v>
      </c>
      <c r="U3797" s="64">
        <f t="shared" si="358"/>
        <v>43.501273148147448</v>
      </c>
      <c r="V3797" s="13" t="str">
        <f t="shared" si="359"/>
        <v>underfunded</v>
      </c>
    </row>
    <row r="3798" spans="1:22" ht="48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0" t="s">
        <v>8314</v>
      </c>
      <c r="R3798" t="s">
        <v>8356</v>
      </c>
      <c r="S3798" s="14">
        <f t="shared" si="356"/>
        <v>42689.029583333337</v>
      </c>
      <c r="T3798" s="14">
        <f t="shared" si="357"/>
        <v>42749.029583333337</v>
      </c>
      <c r="U3798" s="64">
        <f t="shared" si="358"/>
        <v>60</v>
      </c>
      <c r="V3798" s="13" t="str">
        <f t="shared" si="359"/>
        <v>underfunded</v>
      </c>
    </row>
    <row r="3799" spans="1:22" ht="48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8314</v>
      </c>
      <c r="R3799" t="s">
        <v>8356</v>
      </c>
      <c r="S3799" s="14">
        <f t="shared" si="356"/>
        <v>42084.881539351853</v>
      </c>
      <c r="T3799" s="14">
        <f t="shared" si="357"/>
        <v>42114.881539351853</v>
      </c>
      <c r="U3799" s="64">
        <f t="shared" si="358"/>
        <v>30</v>
      </c>
      <c r="V3799" s="13" t="str">
        <f t="shared" si="359"/>
        <v>underfunded</v>
      </c>
    </row>
    <row r="3800" spans="1:22" ht="48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8314</v>
      </c>
      <c r="R3800" t="s">
        <v>8356</v>
      </c>
      <c r="S3800" s="14">
        <f t="shared" si="356"/>
        <v>41831.722777777781</v>
      </c>
      <c r="T3800" s="14">
        <f t="shared" si="357"/>
        <v>41861.722777777781</v>
      </c>
      <c r="U3800" s="64">
        <f t="shared" si="358"/>
        <v>30</v>
      </c>
      <c r="V3800" s="13" t="str">
        <f t="shared" si="359"/>
        <v>underfunded</v>
      </c>
    </row>
    <row r="3801" spans="1:22" ht="3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8314</v>
      </c>
      <c r="R3801" t="s">
        <v>8356</v>
      </c>
      <c r="S3801" s="14">
        <f t="shared" si="356"/>
        <v>42410.93105324074</v>
      </c>
      <c r="T3801" s="14">
        <f t="shared" si="357"/>
        <v>42440.93105324074</v>
      </c>
      <c r="U3801" s="64">
        <f t="shared" si="358"/>
        <v>30</v>
      </c>
      <c r="V3801" s="13" t="str">
        <f t="shared" si="359"/>
        <v>underfunded</v>
      </c>
    </row>
    <row r="3802" spans="1:22" ht="48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8314</v>
      </c>
      <c r="R3802" t="s">
        <v>8356</v>
      </c>
      <c r="S3802" s="14">
        <f t="shared" si="356"/>
        <v>41982.737071759257</v>
      </c>
      <c r="T3802" s="14">
        <f t="shared" si="357"/>
        <v>42015.207638888889</v>
      </c>
      <c r="U3802" s="64">
        <f t="shared" si="358"/>
        <v>32.4705671296324</v>
      </c>
      <c r="V3802" s="13" t="str">
        <f t="shared" si="359"/>
        <v>underfunded</v>
      </c>
    </row>
    <row r="3803" spans="1:22" ht="48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8314</v>
      </c>
      <c r="R3803" t="s">
        <v>8356</v>
      </c>
      <c r="S3803" s="14">
        <f t="shared" si="356"/>
        <v>41975.676111111112</v>
      </c>
      <c r="T3803" s="14">
        <f t="shared" si="357"/>
        <v>42006.676111111112</v>
      </c>
      <c r="U3803" s="64">
        <f t="shared" si="358"/>
        <v>31</v>
      </c>
      <c r="V3803" s="13" t="str">
        <f t="shared" si="359"/>
        <v>underfunded</v>
      </c>
    </row>
    <row r="3804" spans="1:22" ht="48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0" t="s">
        <v>8314</v>
      </c>
      <c r="R3804" t="s">
        <v>8356</v>
      </c>
      <c r="S3804" s="14">
        <f t="shared" si="356"/>
        <v>42269.126226851848</v>
      </c>
      <c r="T3804" s="14">
        <f t="shared" si="357"/>
        <v>42299.126226851848</v>
      </c>
      <c r="U3804" s="64">
        <f t="shared" si="358"/>
        <v>30</v>
      </c>
      <c r="V3804" s="13" t="str">
        <f t="shared" si="359"/>
        <v>underfunded</v>
      </c>
    </row>
    <row r="3805" spans="1:22" ht="3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8314</v>
      </c>
      <c r="R3805" t="s">
        <v>8356</v>
      </c>
      <c r="S3805" s="14">
        <f t="shared" si="356"/>
        <v>42403.971851851849</v>
      </c>
      <c r="T3805" s="14">
        <f t="shared" si="357"/>
        <v>42433.971851851849</v>
      </c>
      <c r="U3805" s="64">
        <f t="shared" si="358"/>
        <v>30</v>
      </c>
      <c r="V3805" s="13" t="str">
        <f t="shared" si="359"/>
        <v>underfunded</v>
      </c>
    </row>
    <row r="3806" spans="1:22" ht="48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0" t="s">
        <v>8314</v>
      </c>
      <c r="R3806" t="s">
        <v>8356</v>
      </c>
      <c r="S3806" s="14">
        <f t="shared" si="356"/>
        <v>42527.00953703704</v>
      </c>
      <c r="T3806" s="14">
        <f t="shared" si="357"/>
        <v>42582.291666666672</v>
      </c>
      <c r="U3806" s="64">
        <f t="shared" si="358"/>
        <v>55.282129629631527</v>
      </c>
      <c r="V3806" s="13" t="str">
        <f t="shared" si="359"/>
        <v>underfunded</v>
      </c>
    </row>
    <row r="3807" spans="1:22" ht="48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0" t="s">
        <v>8314</v>
      </c>
      <c r="R3807" t="s">
        <v>8356</v>
      </c>
      <c r="S3807" s="14">
        <f t="shared" si="356"/>
        <v>41849.887037037035</v>
      </c>
      <c r="T3807" s="14">
        <f t="shared" si="357"/>
        <v>41909.887037037035</v>
      </c>
      <c r="U3807" s="64">
        <f t="shared" si="358"/>
        <v>60</v>
      </c>
      <c r="V3807" s="13" t="str">
        <f t="shared" si="359"/>
        <v>underfunded</v>
      </c>
    </row>
    <row r="3808" spans="1:22" ht="48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0" t="s">
        <v>8314</v>
      </c>
      <c r="R3808" t="s">
        <v>8356</v>
      </c>
      <c r="S3808" s="14">
        <f t="shared" si="356"/>
        <v>41799.259039351848</v>
      </c>
      <c r="T3808" s="14">
        <f t="shared" si="357"/>
        <v>41819.259039351848</v>
      </c>
      <c r="U3808" s="64">
        <f t="shared" si="358"/>
        <v>20</v>
      </c>
      <c r="V3808" s="13" t="str">
        <f t="shared" si="359"/>
        <v>underfunded</v>
      </c>
    </row>
    <row r="3809" spans="1:22" ht="48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8314</v>
      </c>
      <c r="R3809" t="s">
        <v>8356</v>
      </c>
      <c r="S3809" s="14">
        <f t="shared" si="356"/>
        <v>42090.909016203703</v>
      </c>
      <c r="T3809" s="14">
        <f t="shared" si="357"/>
        <v>42097.909016203703</v>
      </c>
      <c r="U3809" s="64">
        <f t="shared" si="358"/>
        <v>7</v>
      </c>
      <c r="V3809" s="13" t="str">
        <f t="shared" si="359"/>
        <v>underfunded</v>
      </c>
    </row>
    <row r="3810" spans="1:22" ht="48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8314</v>
      </c>
      <c r="R3810" t="s">
        <v>8315</v>
      </c>
      <c r="S3810" s="14">
        <f t="shared" si="356"/>
        <v>42059.453923611116</v>
      </c>
      <c r="T3810" s="14">
        <f t="shared" si="357"/>
        <v>42119.412256944444</v>
      </c>
      <c r="U3810" s="64">
        <f t="shared" si="358"/>
        <v>59.958333333328483</v>
      </c>
      <c r="V3810" s="13" t="str">
        <f t="shared" si="359"/>
        <v>funded</v>
      </c>
    </row>
    <row r="3811" spans="1:22" ht="48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8314</v>
      </c>
      <c r="R3811" t="s">
        <v>8315</v>
      </c>
      <c r="S3811" s="14">
        <f t="shared" si="356"/>
        <v>41800.526701388888</v>
      </c>
      <c r="T3811" s="14">
        <f t="shared" si="357"/>
        <v>41850.958333333336</v>
      </c>
      <c r="U3811" s="64">
        <f t="shared" si="358"/>
        <v>50.431631944447872</v>
      </c>
      <c r="V3811" s="13" t="str">
        <f t="shared" si="359"/>
        <v>funded</v>
      </c>
    </row>
    <row r="3812" spans="1:22" ht="48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8314</v>
      </c>
      <c r="R3812" t="s">
        <v>8315</v>
      </c>
      <c r="S3812" s="14">
        <f t="shared" si="356"/>
        <v>42054.849050925928</v>
      </c>
      <c r="T3812" s="14">
        <f t="shared" si="357"/>
        <v>42084.807384259257</v>
      </c>
      <c r="U3812" s="64">
        <f t="shared" si="358"/>
        <v>29.958333333328483</v>
      </c>
      <c r="V3812" s="13" t="str">
        <f t="shared" si="359"/>
        <v>funded</v>
      </c>
    </row>
    <row r="3813" spans="1:22" ht="48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8314</v>
      </c>
      <c r="R3813" t="s">
        <v>8315</v>
      </c>
      <c r="S3813" s="14">
        <f t="shared" si="356"/>
        <v>42487.62700231481</v>
      </c>
      <c r="T3813" s="14">
        <f t="shared" si="357"/>
        <v>42521.458333333328</v>
      </c>
      <c r="U3813" s="64">
        <f t="shared" si="358"/>
        <v>33.83133101851854</v>
      </c>
      <c r="V3813" s="13" t="str">
        <f t="shared" si="359"/>
        <v>funded</v>
      </c>
    </row>
    <row r="3814" spans="1:22" ht="48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8314</v>
      </c>
      <c r="R3814" t="s">
        <v>8315</v>
      </c>
      <c r="S3814" s="14">
        <f t="shared" si="356"/>
        <v>42109.751250000001</v>
      </c>
      <c r="T3814" s="14">
        <f t="shared" si="357"/>
        <v>42156.165972222225</v>
      </c>
      <c r="U3814" s="64">
        <f t="shared" si="358"/>
        <v>46.414722222223645</v>
      </c>
      <c r="V3814" s="13" t="str">
        <f t="shared" si="359"/>
        <v>funded</v>
      </c>
    </row>
    <row r="3815" spans="1:22" ht="48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8314</v>
      </c>
      <c r="R3815" t="s">
        <v>8315</v>
      </c>
      <c r="S3815" s="14">
        <f t="shared" si="356"/>
        <v>42497.275706018518</v>
      </c>
      <c r="T3815" s="14">
        <f t="shared" si="357"/>
        <v>42535.904861111107</v>
      </c>
      <c r="U3815" s="64">
        <f t="shared" si="358"/>
        <v>38.629155092588917</v>
      </c>
      <c r="V3815" s="13" t="str">
        <f t="shared" si="359"/>
        <v>funded</v>
      </c>
    </row>
    <row r="3816" spans="1:22" ht="48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8314</v>
      </c>
      <c r="R3816" t="s">
        <v>8315</v>
      </c>
      <c r="S3816" s="14">
        <f t="shared" si="356"/>
        <v>42058.904074074075</v>
      </c>
      <c r="T3816" s="14">
        <f t="shared" si="357"/>
        <v>42095.165972222225</v>
      </c>
      <c r="U3816" s="64">
        <f t="shared" si="358"/>
        <v>36.261898148150067</v>
      </c>
      <c r="V3816" s="13" t="str">
        <f t="shared" si="359"/>
        <v>funded</v>
      </c>
    </row>
    <row r="3817" spans="1:22" ht="3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8314</v>
      </c>
      <c r="R3817" t="s">
        <v>8315</v>
      </c>
      <c r="S3817" s="14">
        <f t="shared" si="356"/>
        <v>42207.259918981479</v>
      </c>
      <c r="T3817" s="14">
        <f t="shared" si="357"/>
        <v>42236.958333333328</v>
      </c>
      <c r="U3817" s="64">
        <f t="shared" si="358"/>
        <v>29.698414351849351</v>
      </c>
      <c r="V3817" s="13" t="str">
        <f t="shared" si="359"/>
        <v>funded</v>
      </c>
    </row>
    <row r="3818" spans="1:22" ht="6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8314</v>
      </c>
      <c r="R3818" t="s">
        <v>8315</v>
      </c>
      <c r="S3818" s="14">
        <f t="shared" si="356"/>
        <v>41807.690081018518</v>
      </c>
      <c r="T3818" s="14">
        <f t="shared" si="357"/>
        <v>41837.690081018518</v>
      </c>
      <c r="U3818" s="64">
        <f t="shared" si="358"/>
        <v>30</v>
      </c>
      <c r="V3818" s="13" t="str">
        <f t="shared" si="359"/>
        <v>funded</v>
      </c>
    </row>
    <row r="3819" spans="1:22" ht="48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8314</v>
      </c>
      <c r="R3819" t="s">
        <v>8315</v>
      </c>
      <c r="S3819" s="14">
        <f t="shared" si="356"/>
        <v>42284.69694444444</v>
      </c>
      <c r="T3819" s="14">
        <f t="shared" si="357"/>
        <v>42301.165972222225</v>
      </c>
      <c r="U3819" s="64">
        <f t="shared" si="358"/>
        <v>16.469027777784504</v>
      </c>
      <c r="V3819" s="13" t="str">
        <f t="shared" si="359"/>
        <v>funded</v>
      </c>
    </row>
    <row r="3820" spans="1:22" ht="48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8314</v>
      </c>
      <c r="R3820" t="s">
        <v>8315</v>
      </c>
      <c r="S3820" s="14">
        <f t="shared" si="356"/>
        <v>42045.84238425926</v>
      </c>
      <c r="T3820" s="14">
        <f t="shared" si="357"/>
        <v>42075.800717592589</v>
      </c>
      <c r="U3820" s="64">
        <f t="shared" si="358"/>
        <v>29.958333333328483</v>
      </c>
      <c r="V3820" s="13" t="str">
        <f t="shared" si="359"/>
        <v>funded</v>
      </c>
    </row>
    <row r="3821" spans="1:22" ht="3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8314</v>
      </c>
      <c r="R3821" t="s">
        <v>8315</v>
      </c>
      <c r="S3821" s="14">
        <f t="shared" si="356"/>
        <v>42184.209537037037</v>
      </c>
      <c r="T3821" s="14">
        <f t="shared" si="357"/>
        <v>42202.876388888893</v>
      </c>
      <c r="U3821" s="64">
        <f t="shared" si="358"/>
        <v>18.666851851856336</v>
      </c>
      <c r="V3821" s="13" t="str">
        <f t="shared" si="359"/>
        <v>funded</v>
      </c>
    </row>
    <row r="3822" spans="1:22" ht="48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8314</v>
      </c>
      <c r="R3822" t="s">
        <v>8315</v>
      </c>
      <c r="S3822" s="14">
        <f t="shared" si="356"/>
        <v>42160.651817129634</v>
      </c>
      <c r="T3822" s="14">
        <f t="shared" si="357"/>
        <v>42190.651817129634</v>
      </c>
      <c r="U3822" s="64">
        <f t="shared" si="358"/>
        <v>30</v>
      </c>
      <c r="V3822" s="13" t="str">
        <f t="shared" si="359"/>
        <v>funded</v>
      </c>
    </row>
    <row r="3823" spans="1:22" ht="48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8314</v>
      </c>
      <c r="R3823" t="s">
        <v>8315</v>
      </c>
      <c r="S3823" s="14">
        <f t="shared" si="356"/>
        <v>42341.180636574078</v>
      </c>
      <c r="T3823" s="14">
        <f t="shared" si="357"/>
        <v>42373.180636574078</v>
      </c>
      <c r="U3823" s="64">
        <f t="shared" si="358"/>
        <v>32</v>
      </c>
      <c r="V3823" s="13" t="str">
        <f t="shared" si="359"/>
        <v>funded</v>
      </c>
    </row>
    <row r="3824" spans="1:22" ht="48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8314</v>
      </c>
      <c r="R3824" t="s">
        <v>8315</v>
      </c>
      <c r="S3824" s="14">
        <f t="shared" si="356"/>
        <v>42329.838159722218</v>
      </c>
      <c r="T3824" s="14">
        <f t="shared" si="357"/>
        <v>42388.957638888889</v>
      </c>
      <c r="U3824" s="64">
        <f t="shared" si="358"/>
        <v>59.119479166671226</v>
      </c>
      <c r="V3824" s="13" t="str">
        <f t="shared" si="359"/>
        <v>funded</v>
      </c>
    </row>
    <row r="3825" spans="1:22" ht="48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8314</v>
      </c>
      <c r="R3825" t="s">
        <v>8315</v>
      </c>
      <c r="S3825" s="14">
        <f t="shared" si="356"/>
        <v>42170.910231481481</v>
      </c>
      <c r="T3825" s="14">
        <f t="shared" si="357"/>
        <v>42205.165972222225</v>
      </c>
      <c r="U3825" s="64">
        <f t="shared" si="358"/>
        <v>34.255740740743931</v>
      </c>
      <c r="V3825" s="13" t="str">
        <f t="shared" si="359"/>
        <v>funded</v>
      </c>
    </row>
    <row r="3826" spans="1:22" ht="48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8314</v>
      </c>
      <c r="R3826" t="s">
        <v>8315</v>
      </c>
      <c r="S3826" s="14">
        <f t="shared" si="356"/>
        <v>42571.626192129625</v>
      </c>
      <c r="T3826" s="14">
        <f t="shared" si="357"/>
        <v>42583.570138888885</v>
      </c>
      <c r="U3826" s="64">
        <f t="shared" si="358"/>
        <v>11.943946759260143</v>
      </c>
      <c r="V3826" s="13" t="str">
        <f t="shared" si="359"/>
        <v>funded</v>
      </c>
    </row>
    <row r="3827" spans="1:22" ht="48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8314</v>
      </c>
      <c r="R3827" t="s">
        <v>8315</v>
      </c>
      <c r="S3827" s="14">
        <f t="shared" si="356"/>
        <v>42151.069606481484</v>
      </c>
      <c r="T3827" s="14">
        <f t="shared" si="357"/>
        <v>42172.069606481484</v>
      </c>
      <c r="U3827" s="64">
        <f t="shared" si="358"/>
        <v>21</v>
      </c>
      <c r="V3827" s="13" t="str">
        <f t="shared" si="359"/>
        <v>funded</v>
      </c>
    </row>
    <row r="3828" spans="1:22" ht="3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8314</v>
      </c>
      <c r="R3828" t="s">
        <v>8315</v>
      </c>
      <c r="S3828" s="14">
        <f t="shared" si="356"/>
        <v>42101.423541666663</v>
      </c>
      <c r="T3828" s="14">
        <f t="shared" si="357"/>
        <v>42131.423541666663</v>
      </c>
      <c r="U3828" s="64">
        <f t="shared" si="358"/>
        <v>30</v>
      </c>
      <c r="V3828" s="13" t="str">
        <f t="shared" si="359"/>
        <v>funded</v>
      </c>
    </row>
    <row r="3829" spans="1:22" ht="6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8314</v>
      </c>
      <c r="R3829" t="s">
        <v>8315</v>
      </c>
      <c r="S3829" s="14">
        <f t="shared" si="356"/>
        <v>42034.928252314814</v>
      </c>
      <c r="T3829" s="14">
        <f t="shared" si="357"/>
        <v>42090</v>
      </c>
      <c r="U3829" s="64">
        <f t="shared" si="358"/>
        <v>55.071747685185983</v>
      </c>
      <c r="V3829" s="13" t="str">
        <f t="shared" si="359"/>
        <v>funded</v>
      </c>
    </row>
    <row r="3830" spans="1:22" ht="48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8314</v>
      </c>
      <c r="R3830" t="s">
        <v>8315</v>
      </c>
      <c r="S3830" s="14">
        <f t="shared" si="356"/>
        <v>41944.527627314819</v>
      </c>
      <c r="T3830" s="14">
        <f t="shared" si="357"/>
        <v>42004.569293981483</v>
      </c>
      <c r="U3830" s="64">
        <f t="shared" si="358"/>
        <v>60.041666666664241</v>
      </c>
      <c r="V3830" s="13" t="str">
        <f t="shared" si="359"/>
        <v>funded</v>
      </c>
    </row>
    <row r="3831" spans="1:22" ht="48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8314</v>
      </c>
      <c r="R3831" t="s">
        <v>8315</v>
      </c>
      <c r="S3831" s="14">
        <f t="shared" si="356"/>
        <v>42593.865405092598</v>
      </c>
      <c r="T3831" s="14">
        <f t="shared" si="357"/>
        <v>42613.865405092598</v>
      </c>
      <c r="U3831" s="64">
        <f t="shared" si="358"/>
        <v>20</v>
      </c>
      <c r="V3831" s="13" t="str">
        <f t="shared" si="359"/>
        <v>funded</v>
      </c>
    </row>
    <row r="3832" spans="1:22" ht="48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8314</v>
      </c>
      <c r="R3832" t="s">
        <v>8315</v>
      </c>
      <c r="S3832" s="14">
        <f t="shared" si="356"/>
        <v>42503.740868055553</v>
      </c>
      <c r="T3832" s="14">
        <f t="shared" si="357"/>
        <v>42517.740868055553</v>
      </c>
      <c r="U3832" s="64">
        <f t="shared" si="358"/>
        <v>14</v>
      </c>
      <c r="V3832" s="13" t="str">
        <f t="shared" si="359"/>
        <v>funded</v>
      </c>
    </row>
    <row r="3833" spans="1:22" ht="48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8314</v>
      </c>
      <c r="R3833" t="s">
        <v>8315</v>
      </c>
      <c r="S3833" s="14">
        <f t="shared" si="356"/>
        <v>41927.848900462966</v>
      </c>
      <c r="T3833" s="14">
        <f t="shared" si="357"/>
        <v>41948.890567129631</v>
      </c>
      <c r="U3833" s="64">
        <f t="shared" si="358"/>
        <v>21.041666666664241</v>
      </c>
      <c r="V3833" s="13" t="str">
        <f t="shared" si="359"/>
        <v>funded</v>
      </c>
    </row>
    <row r="3834" spans="1:22" ht="48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8314</v>
      </c>
      <c r="R3834" t="s">
        <v>8315</v>
      </c>
      <c r="S3834" s="14">
        <f t="shared" si="356"/>
        <v>42375.114988425921</v>
      </c>
      <c r="T3834" s="14">
        <f t="shared" si="357"/>
        <v>42420.114988425921</v>
      </c>
      <c r="U3834" s="64">
        <f t="shared" si="358"/>
        <v>45</v>
      </c>
      <c r="V3834" s="13" t="str">
        <f t="shared" si="359"/>
        <v>funded</v>
      </c>
    </row>
    <row r="3835" spans="1:22" ht="48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8314</v>
      </c>
      <c r="R3835" t="s">
        <v>8315</v>
      </c>
      <c r="S3835" s="14">
        <f t="shared" si="356"/>
        <v>41963.872361111105</v>
      </c>
      <c r="T3835" s="14">
        <f t="shared" si="357"/>
        <v>41974.797916666663</v>
      </c>
      <c r="U3835" s="64">
        <f t="shared" si="358"/>
        <v>10.925555555557366</v>
      </c>
      <c r="V3835" s="13" t="str">
        <f t="shared" si="359"/>
        <v>funded</v>
      </c>
    </row>
    <row r="3836" spans="1:22" ht="48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8314</v>
      </c>
      <c r="R3836" t="s">
        <v>8315</v>
      </c>
      <c r="S3836" s="14">
        <f t="shared" si="356"/>
        <v>42143.445219907408</v>
      </c>
      <c r="T3836" s="14">
        <f t="shared" si="357"/>
        <v>42173.445219907408</v>
      </c>
      <c r="U3836" s="64">
        <f t="shared" si="358"/>
        <v>30</v>
      </c>
      <c r="V3836" s="13" t="str">
        <f t="shared" si="359"/>
        <v>funded</v>
      </c>
    </row>
    <row r="3837" spans="1:22" ht="48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8314</v>
      </c>
      <c r="R3837" t="s">
        <v>8315</v>
      </c>
      <c r="S3837" s="14">
        <f t="shared" si="356"/>
        <v>42460.94222222222</v>
      </c>
      <c r="T3837" s="14">
        <f t="shared" si="357"/>
        <v>42481.94222222222</v>
      </c>
      <c r="U3837" s="64">
        <f t="shared" si="358"/>
        <v>21</v>
      </c>
      <c r="V3837" s="13" t="str">
        <f t="shared" si="359"/>
        <v>funded</v>
      </c>
    </row>
    <row r="3838" spans="1:22" ht="48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8314</v>
      </c>
      <c r="R3838" t="s">
        <v>8315</v>
      </c>
      <c r="S3838" s="14">
        <f t="shared" si="356"/>
        <v>42553.926527777774</v>
      </c>
      <c r="T3838" s="14">
        <f t="shared" si="357"/>
        <v>42585.172916666663</v>
      </c>
      <c r="U3838" s="64">
        <f t="shared" si="358"/>
        <v>31.24638888888876</v>
      </c>
      <c r="V3838" s="13" t="str">
        <f t="shared" si="359"/>
        <v>funded</v>
      </c>
    </row>
    <row r="3839" spans="1:22" ht="3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8314</v>
      </c>
      <c r="R3839" t="s">
        <v>8315</v>
      </c>
      <c r="S3839" s="14">
        <f t="shared" si="356"/>
        <v>42152.765717592592</v>
      </c>
      <c r="T3839" s="14">
        <f t="shared" si="357"/>
        <v>42188.765717592592</v>
      </c>
      <c r="U3839" s="64">
        <f t="shared" si="358"/>
        <v>36</v>
      </c>
      <c r="V3839" s="13" t="str">
        <f t="shared" si="359"/>
        <v>funded</v>
      </c>
    </row>
    <row r="3840" spans="1:22" ht="48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8314</v>
      </c>
      <c r="R3840" t="s">
        <v>8315</v>
      </c>
      <c r="S3840" s="14">
        <f t="shared" si="356"/>
        <v>42116.710752314815</v>
      </c>
      <c r="T3840" s="14">
        <f t="shared" si="357"/>
        <v>42146.710752314815</v>
      </c>
      <c r="U3840" s="64">
        <f t="shared" si="358"/>
        <v>30</v>
      </c>
      <c r="V3840" s="13" t="str">
        <f t="shared" si="359"/>
        <v>funded</v>
      </c>
    </row>
    <row r="3841" spans="1:22" ht="48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8314</v>
      </c>
      <c r="R3841" t="s">
        <v>8315</v>
      </c>
      <c r="S3841" s="14">
        <f t="shared" si="356"/>
        <v>42155.142638888887</v>
      </c>
      <c r="T3841" s="14">
        <f t="shared" si="357"/>
        <v>42215.142638888887</v>
      </c>
      <c r="U3841" s="64">
        <f t="shared" si="358"/>
        <v>60</v>
      </c>
      <c r="V3841" s="13" t="str">
        <f t="shared" si="359"/>
        <v>funded</v>
      </c>
    </row>
    <row r="3842" spans="1:22" ht="48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>
        <f t="shared" si="355"/>
        <v>21.67</v>
      </c>
      <c r="Q3842" s="10" t="s">
        <v>8314</v>
      </c>
      <c r="R3842" t="s">
        <v>8315</v>
      </c>
      <c r="S3842" s="14">
        <f t="shared" si="356"/>
        <v>42432.701724537037</v>
      </c>
      <c r="T3842" s="14">
        <f t="shared" si="357"/>
        <v>42457.660057870366</v>
      </c>
      <c r="U3842" s="64">
        <f t="shared" si="358"/>
        <v>24.958333333328483</v>
      </c>
      <c r="V3842" s="13" t="str">
        <f t="shared" si="359"/>
        <v>funded</v>
      </c>
    </row>
    <row r="3843" spans="1:22" ht="48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>ROUND(E3843/D3843*100,0)</f>
        <v>9</v>
      </c>
      <c r="P3843">
        <f t="shared" ref="P3843:P3906" si="361">IFERROR(ROUND(E3843/L3843,2), 0)</f>
        <v>25.65</v>
      </c>
      <c r="Q3843" s="10" t="s">
        <v>8314</v>
      </c>
      <c r="R3843" t="s">
        <v>8315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 s="64">
        <f t="shared" ref="U3843:V3906" si="364">T3843-S3843</f>
        <v>60</v>
      </c>
      <c r="V3843" s="13" t="str">
        <f t="shared" ref="V3843:V3906" si="365">IF(E3843&gt;=D3843, "funded", "underfunded")</f>
        <v>underfunded</v>
      </c>
    </row>
    <row r="3844" spans="1:22" ht="48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8314</v>
      </c>
      <c r="R3844" t="s">
        <v>8315</v>
      </c>
      <c r="S3844" s="14">
        <f t="shared" si="362"/>
        <v>41740.493657407409</v>
      </c>
      <c r="T3844" s="14">
        <f t="shared" si="363"/>
        <v>41770.493657407409</v>
      </c>
      <c r="U3844" s="64">
        <f t="shared" si="364"/>
        <v>30</v>
      </c>
      <c r="V3844" s="13" t="str">
        <f t="shared" si="365"/>
        <v>underfunded</v>
      </c>
    </row>
    <row r="3845" spans="1:22" ht="48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8314</v>
      </c>
      <c r="R3845" t="s">
        <v>8315</v>
      </c>
      <c r="S3845" s="14">
        <f t="shared" si="362"/>
        <v>41766.072500000002</v>
      </c>
      <c r="T3845" s="14">
        <f t="shared" si="363"/>
        <v>41791.072500000002</v>
      </c>
      <c r="U3845" s="64">
        <f t="shared" si="364"/>
        <v>25</v>
      </c>
      <c r="V3845" s="13" t="str">
        <f t="shared" si="365"/>
        <v>underfunded</v>
      </c>
    </row>
    <row r="3846" spans="1:22" ht="48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8314</v>
      </c>
      <c r="R3846" t="s">
        <v>8315</v>
      </c>
      <c r="S3846" s="14">
        <f t="shared" si="362"/>
        <v>41766.617291666669</v>
      </c>
      <c r="T3846" s="14">
        <f t="shared" si="363"/>
        <v>41793.290972222225</v>
      </c>
      <c r="U3846" s="64">
        <f t="shared" si="364"/>
        <v>26.67368055555562</v>
      </c>
      <c r="V3846" s="13" t="str">
        <f t="shared" si="365"/>
        <v>underfunded</v>
      </c>
    </row>
    <row r="3847" spans="1:22" ht="6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8314</v>
      </c>
      <c r="R3847" t="s">
        <v>8315</v>
      </c>
      <c r="S3847" s="14">
        <f t="shared" si="362"/>
        <v>42248.627013888887</v>
      </c>
      <c r="T3847" s="14">
        <f t="shared" si="363"/>
        <v>42278.627013888887</v>
      </c>
      <c r="U3847" s="64">
        <f t="shared" si="364"/>
        <v>30</v>
      </c>
      <c r="V3847" s="13" t="str">
        <f t="shared" si="365"/>
        <v>underfunded</v>
      </c>
    </row>
    <row r="3848" spans="1:22" ht="48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8314</v>
      </c>
      <c r="R3848" t="s">
        <v>8315</v>
      </c>
      <c r="S3848" s="14">
        <f t="shared" si="362"/>
        <v>41885.221550925926</v>
      </c>
      <c r="T3848" s="14">
        <f t="shared" si="363"/>
        <v>41916.290972222225</v>
      </c>
      <c r="U3848" s="64">
        <f t="shared" si="364"/>
        <v>31.06942129629897</v>
      </c>
      <c r="V3848" s="13" t="str">
        <f t="shared" si="365"/>
        <v>underfunded</v>
      </c>
    </row>
    <row r="3849" spans="1:22" ht="48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8314</v>
      </c>
      <c r="R3849" t="s">
        <v>8315</v>
      </c>
      <c r="S3849" s="14">
        <f t="shared" si="362"/>
        <v>42159.224432870367</v>
      </c>
      <c r="T3849" s="14">
        <f t="shared" si="363"/>
        <v>42204.224432870367</v>
      </c>
      <c r="U3849" s="64">
        <f t="shared" si="364"/>
        <v>45</v>
      </c>
      <c r="V3849" s="13" t="str">
        <f t="shared" si="365"/>
        <v>underfunded</v>
      </c>
    </row>
    <row r="3850" spans="1:22" ht="48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8314</v>
      </c>
      <c r="R3850" t="s">
        <v>8315</v>
      </c>
      <c r="S3850" s="14">
        <f t="shared" si="362"/>
        <v>42265.817002314812</v>
      </c>
      <c r="T3850" s="14">
        <f t="shared" si="363"/>
        <v>42295.817002314812</v>
      </c>
      <c r="U3850" s="64">
        <f t="shared" si="364"/>
        <v>30</v>
      </c>
      <c r="V3850" s="13" t="str">
        <f t="shared" si="365"/>
        <v>underfunded</v>
      </c>
    </row>
    <row r="3851" spans="1:22" ht="48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8314</v>
      </c>
      <c r="R3851" t="s">
        <v>8315</v>
      </c>
      <c r="S3851" s="14">
        <f t="shared" si="362"/>
        <v>42136.767175925925</v>
      </c>
      <c r="T3851" s="14">
        <f t="shared" si="363"/>
        <v>42166.767175925925</v>
      </c>
      <c r="U3851" s="64">
        <f t="shared" si="364"/>
        <v>30</v>
      </c>
      <c r="V3851" s="13" t="str">
        <f t="shared" si="365"/>
        <v>underfunded</v>
      </c>
    </row>
    <row r="3852" spans="1:22" ht="3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8314</v>
      </c>
      <c r="R3852" t="s">
        <v>8315</v>
      </c>
      <c r="S3852" s="14">
        <f t="shared" si="362"/>
        <v>41975.124340277776</v>
      </c>
      <c r="T3852" s="14">
        <f t="shared" si="363"/>
        <v>42005.124340277776</v>
      </c>
      <c r="U3852" s="64">
        <f t="shared" si="364"/>
        <v>30</v>
      </c>
      <c r="V3852" s="13" t="str">
        <f t="shared" si="365"/>
        <v>underfunded</v>
      </c>
    </row>
    <row r="3853" spans="1:22" ht="48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8314</v>
      </c>
      <c r="R3853" t="s">
        <v>8315</v>
      </c>
      <c r="S3853" s="14">
        <f t="shared" si="362"/>
        <v>42172.439571759256</v>
      </c>
      <c r="T3853" s="14">
        <f t="shared" si="363"/>
        <v>42202.439571759256</v>
      </c>
      <c r="U3853" s="64">
        <f t="shared" si="364"/>
        <v>30</v>
      </c>
      <c r="V3853" s="13" t="str">
        <f t="shared" si="365"/>
        <v>underfunded</v>
      </c>
    </row>
    <row r="3854" spans="1:22" ht="48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0" t="s">
        <v>8314</v>
      </c>
      <c r="R3854" t="s">
        <v>8315</v>
      </c>
      <c r="S3854" s="14">
        <f t="shared" si="362"/>
        <v>42065.190694444449</v>
      </c>
      <c r="T3854" s="14">
        <f t="shared" si="363"/>
        <v>42090.149027777778</v>
      </c>
      <c r="U3854" s="64">
        <f t="shared" si="364"/>
        <v>24.958333333328483</v>
      </c>
      <c r="V3854" s="13" t="str">
        <f t="shared" si="365"/>
        <v>underfunded</v>
      </c>
    </row>
    <row r="3855" spans="1:22" ht="3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0" t="s">
        <v>8314</v>
      </c>
      <c r="R3855" t="s">
        <v>8315</v>
      </c>
      <c r="S3855" s="14">
        <f t="shared" si="362"/>
        <v>41848.84002314815</v>
      </c>
      <c r="T3855" s="14">
        <f t="shared" si="363"/>
        <v>41883.84002314815</v>
      </c>
      <c r="U3855" s="64">
        <f t="shared" si="364"/>
        <v>35</v>
      </c>
      <c r="V3855" s="13" t="str">
        <f t="shared" si="365"/>
        <v>underfunded</v>
      </c>
    </row>
    <row r="3856" spans="1:22" ht="3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8314</v>
      </c>
      <c r="R3856" t="s">
        <v>8315</v>
      </c>
      <c r="S3856" s="14">
        <f t="shared" si="362"/>
        <v>42103.884930555556</v>
      </c>
      <c r="T3856" s="14">
        <f t="shared" si="363"/>
        <v>42133.884930555556</v>
      </c>
      <c r="U3856" s="64">
        <f t="shared" si="364"/>
        <v>30</v>
      </c>
      <c r="V3856" s="13" t="str">
        <f t="shared" si="365"/>
        <v>underfunded</v>
      </c>
    </row>
    <row r="3857" spans="1:22" ht="48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8314</v>
      </c>
      <c r="R3857" t="s">
        <v>8315</v>
      </c>
      <c r="S3857" s="14">
        <f t="shared" si="362"/>
        <v>42059.970729166671</v>
      </c>
      <c r="T3857" s="14">
        <f t="shared" si="363"/>
        <v>42089.929062499999</v>
      </c>
      <c r="U3857" s="64">
        <f t="shared" si="364"/>
        <v>29.958333333328483</v>
      </c>
      <c r="V3857" s="13" t="str">
        <f t="shared" si="365"/>
        <v>underfunded</v>
      </c>
    </row>
    <row r="3858" spans="1:22" ht="48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0" t="s">
        <v>8314</v>
      </c>
      <c r="R3858" t="s">
        <v>8315</v>
      </c>
      <c r="S3858" s="14">
        <f t="shared" si="362"/>
        <v>42041.743090277778</v>
      </c>
      <c r="T3858" s="14">
        <f t="shared" si="363"/>
        <v>42071.701423611114</v>
      </c>
      <c r="U3858" s="64">
        <f t="shared" si="364"/>
        <v>29.958333333335759</v>
      </c>
      <c r="V3858" s="13" t="str">
        <f t="shared" si="365"/>
        <v>underfunded</v>
      </c>
    </row>
    <row r="3859" spans="1:22" ht="48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8314</v>
      </c>
      <c r="R3859" t="s">
        <v>8315</v>
      </c>
      <c r="S3859" s="14">
        <f t="shared" si="362"/>
        <v>41829.73715277778</v>
      </c>
      <c r="T3859" s="14">
        <f t="shared" si="363"/>
        <v>41852.716666666667</v>
      </c>
      <c r="U3859" s="64">
        <f t="shared" si="364"/>
        <v>22.979513888887595</v>
      </c>
      <c r="V3859" s="13" t="str">
        <f t="shared" si="365"/>
        <v>underfunded</v>
      </c>
    </row>
    <row r="3860" spans="1:22" ht="48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8314</v>
      </c>
      <c r="R3860" t="s">
        <v>8315</v>
      </c>
      <c r="S3860" s="14">
        <f t="shared" si="362"/>
        <v>42128.431064814817</v>
      </c>
      <c r="T3860" s="14">
        <f t="shared" si="363"/>
        <v>42146.875</v>
      </c>
      <c r="U3860" s="64">
        <f t="shared" si="364"/>
        <v>18.443935185183364</v>
      </c>
      <c r="V3860" s="13" t="str">
        <f t="shared" si="365"/>
        <v>underfunded</v>
      </c>
    </row>
    <row r="3861" spans="1:22" ht="48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0" t="s">
        <v>8314</v>
      </c>
      <c r="R3861" t="s">
        <v>8315</v>
      </c>
      <c r="S3861" s="14">
        <f t="shared" si="362"/>
        <v>41789.893599537041</v>
      </c>
      <c r="T3861" s="14">
        <f t="shared" si="363"/>
        <v>41815.875</v>
      </c>
      <c r="U3861" s="64">
        <f t="shared" si="364"/>
        <v>25.981400462958845</v>
      </c>
      <c r="V3861" s="13" t="str">
        <f t="shared" si="365"/>
        <v>underfunded</v>
      </c>
    </row>
    <row r="3862" spans="1:22" ht="48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8314</v>
      </c>
      <c r="R3862" t="s">
        <v>8315</v>
      </c>
      <c r="S3862" s="14">
        <f t="shared" si="362"/>
        <v>41833.660995370366</v>
      </c>
      <c r="T3862" s="14">
        <f t="shared" si="363"/>
        <v>41863.660995370366</v>
      </c>
      <c r="U3862" s="64">
        <f t="shared" si="364"/>
        <v>30</v>
      </c>
      <c r="V3862" s="13" t="str">
        <f t="shared" si="365"/>
        <v>underfunded</v>
      </c>
    </row>
    <row r="3863" spans="1:22" ht="16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8314</v>
      </c>
      <c r="R3863" t="s">
        <v>8315</v>
      </c>
      <c r="S3863" s="14">
        <f t="shared" si="362"/>
        <v>41914.590011574073</v>
      </c>
      <c r="T3863" s="14">
        <f t="shared" si="363"/>
        <v>41955.907638888893</v>
      </c>
      <c r="U3863" s="64">
        <f t="shared" si="364"/>
        <v>41.317627314820129</v>
      </c>
      <c r="V3863" s="13" t="str">
        <f t="shared" si="365"/>
        <v>underfunded</v>
      </c>
    </row>
    <row r="3864" spans="1:22" ht="3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0" t="s">
        <v>8314</v>
      </c>
      <c r="R3864" t="s">
        <v>8315</v>
      </c>
      <c r="S3864" s="14">
        <f t="shared" si="362"/>
        <v>42611.261064814811</v>
      </c>
      <c r="T3864" s="14">
        <f t="shared" si="363"/>
        <v>42625.707638888889</v>
      </c>
      <c r="U3864" s="64">
        <f t="shared" si="364"/>
        <v>14.446574074077944</v>
      </c>
      <c r="V3864" s="13" t="str">
        <f t="shared" si="365"/>
        <v>underfunded</v>
      </c>
    </row>
    <row r="3865" spans="1:22" ht="48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0" t="s">
        <v>8314</v>
      </c>
      <c r="R3865" t="s">
        <v>8315</v>
      </c>
      <c r="S3865" s="14">
        <f t="shared" si="362"/>
        <v>42253.633159722223</v>
      </c>
      <c r="T3865" s="14">
        <f t="shared" si="363"/>
        <v>42313.674826388888</v>
      </c>
      <c r="U3865" s="64">
        <f t="shared" si="364"/>
        <v>60.041666666664241</v>
      </c>
      <c r="V3865" s="13" t="str">
        <f t="shared" si="365"/>
        <v>underfunded</v>
      </c>
    </row>
    <row r="3866" spans="1:22" ht="48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8314</v>
      </c>
      <c r="R3866" t="s">
        <v>8315</v>
      </c>
      <c r="S3866" s="14">
        <f t="shared" si="362"/>
        <v>42295.891828703709</v>
      </c>
      <c r="T3866" s="14">
        <f t="shared" si="363"/>
        <v>42325.933495370366</v>
      </c>
      <c r="U3866" s="64">
        <f t="shared" si="364"/>
        <v>30.041666666656965</v>
      </c>
      <c r="V3866" s="13" t="str">
        <f t="shared" si="365"/>
        <v>underfunded</v>
      </c>
    </row>
    <row r="3867" spans="1:22" ht="48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8314</v>
      </c>
      <c r="R3867" t="s">
        <v>8315</v>
      </c>
      <c r="S3867" s="14">
        <f t="shared" si="362"/>
        <v>41841.651597222226</v>
      </c>
      <c r="T3867" s="14">
        <f t="shared" si="363"/>
        <v>41881.229166666664</v>
      </c>
      <c r="U3867" s="64">
        <f t="shared" si="364"/>
        <v>39.577569444438268</v>
      </c>
      <c r="V3867" s="13" t="str">
        <f t="shared" si="365"/>
        <v>underfunded</v>
      </c>
    </row>
    <row r="3868" spans="1:22" ht="3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8314</v>
      </c>
      <c r="R3868" t="s">
        <v>8315</v>
      </c>
      <c r="S3868" s="14">
        <f t="shared" si="362"/>
        <v>42402.947002314817</v>
      </c>
      <c r="T3868" s="14">
        <f t="shared" si="363"/>
        <v>42452.145138888889</v>
      </c>
      <c r="U3868" s="64">
        <f t="shared" si="364"/>
        <v>49.198136574072123</v>
      </c>
      <c r="V3868" s="13" t="str">
        <f t="shared" si="365"/>
        <v>underfunded</v>
      </c>
    </row>
    <row r="3869" spans="1:22" ht="48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8314</v>
      </c>
      <c r="R3869" t="s">
        <v>8315</v>
      </c>
      <c r="S3869" s="14">
        <f t="shared" si="362"/>
        <v>42509.814108796301</v>
      </c>
      <c r="T3869" s="14">
        <f t="shared" si="363"/>
        <v>42539.814108796301</v>
      </c>
      <c r="U3869" s="64">
        <f t="shared" si="364"/>
        <v>30</v>
      </c>
      <c r="V3869" s="13" t="str">
        <f t="shared" si="365"/>
        <v>underfunded</v>
      </c>
    </row>
    <row r="3870" spans="1:22" ht="16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0" t="s">
        <v>8314</v>
      </c>
      <c r="R3870" t="s">
        <v>8356</v>
      </c>
      <c r="S3870" s="14">
        <f t="shared" si="362"/>
        <v>41865.659780092588</v>
      </c>
      <c r="T3870" s="14">
        <f t="shared" si="363"/>
        <v>41890.659780092588</v>
      </c>
      <c r="U3870" s="64">
        <f t="shared" si="364"/>
        <v>25</v>
      </c>
      <c r="V3870" s="13" t="str">
        <f t="shared" si="365"/>
        <v>underfunded</v>
      </c>
    </row>
    <row r="3871" spans="1:22" ht="3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8314</v>
      </c>
      <c r="R3871" t="s">
        <v>8356</v>
      </c>
      <c r="S3871" s="14">
        <f t="shared" si="362"/>
        <v>42047.724444444444</v>
      </c>
      <c r="T3871" s="14">
        <f t="shared" si="363"/>
        <v>42077.132638888885</v>
      </c>
      <c r="U3871" s="64">
        <f t="shared" si="364"/>
        <v>29.408194444440596</v>
      </c>
      <c r="V3871" s="13" t="str">
        <f t="shared" si="365"/>
        <v>underfunded</v>
      </c>
    </row>
    <row r="3872" spans="1:22" ht="48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8314</v>
      </c>
      <c r="R3872" t="s">
        <v>8356</v>
      </c>
      <c r="S3872" s="14">
        <f t="shared" si="362"/>
        <v>41793.17219907407</v>
      </c>
      <c r="T3872" s="14">
        <f t="shared" si="363"/>
        <v>41823.17219907407</v>
      </c>
      <c r="U3872" s="64">
        <f t="shared" si="364"/>
        <v>30</v>
      </c>
      <c r="V3872" s="13" t="str">
        <f t="shared" si="365"/>
        <v>underfunded</v>
      </c>
    </row>
    <row r="3873" spans="1:22" ht="3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8314</v>
      </c>
      <c r="R3873" t="s">
        <v>8356</v>
      </c>
      <c r="S3873" s="14">
        <f t="shared" si="362"/>
        <v>42763.780671296292</v>
      </c>
      <c r="T3873" s="14">
        <f t="shared" si="363"/>
        <v>42823.739004629635</v>
      </c>
      <c r="U3873" s="64">
        <f t="shared" si="364"/>
        <v>59.958333333343035</v>
      </c>
      <c r="V3873" s="13" t="str">
        <f t="shared" si="365"/>
        <v>underfunded</v>
      </c>
    </row>
    <row r="3874" spans="1:22" ht="48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0" t="s">
        <v>8314</v>
      </c>
      <c r="R3874" t="s">
        <v>8356</v>
      </c>
      <c r="S3874" s="14">
        <f t="shared" si="362"/>
        <v>42180.145787037036</v>
      </c>
      <c r="T3874" s="14">
        <f t="shared" si="363"/>
        <v>42230.145787037036</v>
      </c>
      <c r="U3874" s="64">
        <f t="shared" si="364"/>
        <v>50</v>
      </c>
      <c r="V3874" s="13" t="str">
        <f t="shared" si="365"/>
        <v>underfunded</v>
      </c>
    </row>
    <row r="3875" spans="1:22" ht="48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0" t="s">
        <v>8314</v>
      </c>
      <c r="R3875" t="s">
        <v>8356</v>
      </c>
      <c r="S3875" s="14">
        <f t="shared" si="362"/>
        <v>42255.696006944447</v>
      </c>
      <c r="T3875" s="14">
        <f t="shared" si="363"/>
        <v>42285.696006944447</v>
      </c>
      <c r="U3875" s="64">
        <f t="shared" si="364"/>
        <v>30</v>
      </c>
      <c r="V3875" s="13" t="str">
        <f t="shared" si="365"/>
        <v>underfunded</v>
      </c>
    </row>
    <row r="3876" spans="1:22" ht="48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0" t="s">
        <v>8314</v>
      </c>
      <c r="R3876" t="s">
        <v>8356</v>
      </c>
      <c r="S3876" s="14">
        <f t="shared" si="362"/>
        <v>42007.016458333332</v>
      </c>
      <c r="T3876" s="14">
        <f t="shared" si="363"/>
        <v>42028.041666666672</v>
      </c>
      <c r="U3876" s="64">
        <f t="shared" si="364"/>
        <v>21.025208333339833</v>
      </c>
      <c r="V3876" s="13" t="str">
        <f t="shared" si="365"/>
        <v>underfunded</v>
      </c>
    </row>
    <row r="3877" spans="1:22" ht="48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0" t="s">
        <v>8314</v>
      </c>
      <c r="R3877" t="s">
        <v>8356</v>
      </c>
      <c r="S3877" s="14">
        <f t="shared" si="362"/>
        <v>42615.346817129626</v>
      </c>
      <c r="T3877" s="14">
        <f t="shared" si="363"/>
        <v>42616.416666666672</v>
      </c>
      <c r="U3877" s="64">
        <f t="shared" si="364"/>
        <v>1.0698495370452292</v>
      </c>
      <c r="V3877" s="13" t="str">
        <f t="shared" si="365"/>
        <v>underfunded</v>
      </c>
    </row>
    <row r="3878" spans="1:22" ht="4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8314</v>
      </c>
      <c r="R3878" t="s">
        <v>8356</v>
      </c>
      <c r="S3878" s="14">
        <f t="shared" si="362"/>
        <v>42372.624166666668</v>
      </c>
      <c r="T3878" s="14">
        <f t="shared" si="363"/>
        <v>42402.624166666668</v>
      </c>
      <c r="U3878" s="64">
        <f t="shared" si="364"/>
        <v>30</v>
      </c>
      <c r="V3878" s="13" t="str">
        <f t="shared" si="365"/>
        <v>underfunded</v>
      </c>
    </row>
    <row r="3879" spans="1:22" ht="48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8314</v>
      </c>
      <c r="R3879" t="s">
        <v>8356</v>
      </c>
      <c r="S3879" s="14">
        <f t="shared" si="362"/>
        <v>42682.67768518519</v>
      </c>
      <c r="T3879" s="14">
        <f t="shared" si="363"/>
        <v>42712.67768518519</v>
      </c>
      <c r="U3879" s="64">
        <f t="shared" si="364"/>
        <v>30</v>
      </c>
      <c r="V3879" s="13" t="str">
        <f t="shared" si="365"/>
        <v>underfunded</v>
      </c>
    </row>
    <row r="3880" spans="1:22" ht="48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0" t="s">
        <v>8314</v>
      </c>
      <c r="R3880" t="s">
        <v>8356</v>
      </c>
      <c r="S3880" s="14">
        <f t="shared" si="362"/>
        <v>42154.818819444445</v>
      </c>
      <c r="T3880" s="14">
        <f t="shared" si="363"/>
        <v>42185.165972222225</v>
      </c>
      <c r="U3880" s="64">
        <f t="shared" si="364"/>
        <v>30.347152777780138</v>
      </c>
      <c r="V3880" s="13" t="str">
        <f t="shared" si="365"/>
        <v>underfunded</v>
      </c>
    </row>
    <row r="3881" spans="1:22" ht="48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0" t="s">
        <v>8314</v>
      </c>
      <c r="R3881" t="s">
        <v>8356</v>
      </c>
      <c r="S3881" s="14">
        <f t="shared" si="362"/>
        <v>41999.861064814817</v>
      </c>
      <c r="T3881" s="14">
        <f t="shared" si="363"/>
        <v>42029.861064814817</v>
      </c>
      <c r="U3881" s="64">
        <f t="shared" si="364"/>
        <v>30</v>
      </c>
      <c r="V3881" s="13" t="str">
        <f t="shared" si="365"/>
        <v>underfunded</v>
      </c>
    </row>
    <row r="3882" spans="1:22" ht="48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8314</v>
      </c>
      <c r="R3882" t="s">
        <v>8356</v>
      </c>
      <c r="S3882" s="14">
        <f t="shared" si="362"/>
        <v>41815.815046296295</v>
      </c>
      <c r="T3882" s="14">
        <f t="shared" si="363"/>
        <v>41850.958333333336</v>
      </c>
      <c r="U3882" s="64">
        <f t="shared" si="364"/>
        <v>35.143287037040864</v>
      </c>
      <c r="V3882" s="13" t="str">
        <f t="shared" si="365"/>
        <v>underfunded</v>
      </c>
    </row>
    <row r="3883" spans="1:22" ht="3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8314</v>
      </c>
      <c r="R3883" t="s">
        <v>8356</v>
      </c>
      <c r="S3883" s="14">
        <f t="shared" si="362"/>
        <v>42756.018506944441</v>
      </c>
      <c r="T3883" s="14">
        <f t="shared" si="363"/>
        <v>42786.018506944441</v>
      </c>
      <c r="U3883" s="64">
        <f t="shared" si="364"/>
        <v>30</v>
      </c>
      <c r="V3883" s="13" t="str">
        <f t="shared" si="365"/>
        <v>underfunded</v>
      </c>
    </row>
    <row r="3884" spans="1:22" ht="48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0" t="s">
        <v>8314</v>
      </c>
      <c r="R3884" t="s">
        <v>8356</v>
      </c>
      <c r="S3884" s="14">
        <f t="shared" si="362"/>
        <v>42373.983449074076</v>
      </c>
      <c r="T3884" s="14">
        <f t="shared" si="363"/>
        <v>42400.960416666669</v>
      </c>
      <c r="U3884" s="64">
        <f t="shared" si="364"/>
        <v>26.9769675925927</v>
      </c>
      <c r="V3884" s="13" t="str">
        <f t="shared" si="365"/>
        <v>underfunded</v>
      </c>
    </row>
    <row r="3885" spans="1:22" ht="4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0" t="s">
        <v>8314</v>
      </c>
      <c r="R3885" t="s">
        <v>8356</v>
      </c>
      <c r="S3885" s="14">
        <f t="shared" si="362"/>
        <v>41854.602650462963</v>
      </c>
      <c r="T3885" s="14">
        <f t="shared" si="363"/>
        <v>41884.602650462963</v>
      </c>
      <c r="U3885" s="64">
        <f t="shared" si="364"/>
        <v>30</v>
      </c>
      <c r="V3885" s="13" t="str">
        <f t="shared" si="365"/>
        <v>underfunded</v>
      </c>
    </row>
    <row r="3886" spans="1:22" ht="48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0" t="s">
        <v>8314</v>
      </c>
      <c r="R3886" t="s">
        <v>8356</v>
      </c>
      <c r="S3886" s="14">
        <f t="shared" si="362"/>
        <v>42065.791574074072</v>
      </c>
      <c r="T3886" s="14">
        <f t="shared" si="363"/>
        <v>42090.749907407408</v>
      </c>
      <c r="U3886" s="64">
        <f t="shared" si="364"/>
        <v>24.958333333335759</v>
      </c>
      <c r="V3886" s="13" t="str">
        <f t="shared" si="365"/>
        <v>underfunded</v>
      </c>
    </row>
    <row r="3887" spans="1:22" ht="48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0" t="s">
        <v>8314</v>
      </c>
      <c r="R3887" t="s">
        <v>8356</v>
      </c>
      <c r="S3887" s="14">
        <f t="shared" si="362"/>
        <v>42469.951284722221</v>
      </c>
      <c r="T3887" s="14">
        <f t="shared" si="363"/>
        <v>42499.951284722221</v>
      </c>
      <c r="U3887" s="64">
        <f t="shared" si="364"/>
        <v>30</v>
      </c>
      <c r="V3887" s="13" t="str">
        <f t="shared" si="365"/>
        <v>underfunded</v>
      </c>
    </row>
    <row r="3888" spans="1:22" ht="16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0" t="s">
        <v>8314</v>
      </c>
      <c r="R3888" t="s">
        <v>8356</v>
      </c>
      <c r="S3888" s="14">
        <f t="shared" si="362"/>
        <v>41954.228032407409</v>
      </c>
      <c r="T3888" s="14">
        <f t="shared" si="363"/>
        <v>41984.228032407409</v>
      </c>
      <c r="U3888" s="64">
        <f t="shared" si="364"/>
        <v>30</v>
      </c>
      <c r="V3888" s="13" t="str">
        <f t="shared" si="365"/>
        <v>underfunded</v>
      </c>
    </row>
    <row r="3889" spans="1:22" ht="48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8314</v>
      </c>
      <c r="R3889" t="s">
        <v>8356</v>
      </c>
      <c r="S3889" s="14">
        <f t="shared" si="362"/>
        <v>42079.857974537037</v>
      </c>
      <c r="T3889" s="14">
        <f t="shared" si="363"/>
        <v>42125.916666666672</v>
      </c>
      <c r="U3889" s="64">
        <f t="shared" si="364"/>
        <v>46.058692129634437</v>
      </c>
      <c r="V3889" s="13" t="str">
        <f t="shared" si="365"/>
        <v>underfunded</v>
      </c>
    </row>
    <row r="3890" spans="1:22" ht="48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8314</v>
      </c>
      <c r="R3890" t="s">
        <v>8315</v>
      </c>
      <c r="S3890" s="14">
        <f t="shared" si="362"/>
        <v>42762.545810185184</v>
      </c>
      <c r="T3890" s="14">
        <f t="shared" si="363"/>
        <v>42792.545810185184</v>
      </c>
      <c r="U3890" s="64">
        <f t="shared" si="364"/>
        <v>30</v>
      </c>
      <c r="V3890" s="13" t="str">
        <f t="shared" si="365"/>
        <v>underfunded</v>
      </c>
    </row>
    <row r="3891" spans="1:22" ht="48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8314</v>
      </c>
      <c r="R3891" t="s">
        <v>8315</v>
      </c>
      <c r="S3891" s="14">
        <f t="shared" si="362"/>
        <v>41977.004976851851</v>
      </c>
      <c r="T3891" s="14">
        <f t="shared" si="363"/>
        <v>42008.976388888885</v>
      </c>
      <c r="U3891" s="64">
        <f t="shared" si="364"/>
        <v>31.971412037033588</v>
      </c>
      <c r="V3891" s="13" t="str">
        <f t="shared" si="365"/>
        <v>underfunded</v>
      </c>
    </row>
    <row r="3892" spans="1:22" ht="48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8314</v>
      </c>
      <c r="R3892" t="s">
        <v>8315</v>
      </c>
      <c r="S3892" s="14">
        <f t="shared" si="362"/>
        <v>42171.758611111116</v>
      </c>
      <c r="T3892" s="14">
        <f t="shared" si="363"/>
        <v>42231.758611111116</v>
      </c>
      <c r="U3892" s="64">
        <f t="shared" si="364"/>
        <v>60</v>
      </c>
      <c r="V3892" s="13" t="str">
        <f t="shared" si="365"/>
        <v>underfunded</v>
      </c>
    </row>
    <row r="3893" spans="1:22" ht="3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8314</v>
      </c>
      <c r="R3893" t="s">
        <v>8315</v>
      </c>
      <c r="S3893" s="14">
        <f t="shared" si="362"/>
        <v>42056.1324537037</v>
      </c>
      <c r="T3893" s="14">
        <f t="shared" si="363"/>
        <v>42086.207638888889</v>
      </c>
      <c r="U3893" s="64">
        <f t="shared" si="364"/>
        <v>30.075185185189184</v>
      </c>
      <c r="V3893" s="13" t="str">
        <f t="shared" si="365"/>
        <v>underfunded</v>
      </c>
    </row>
    <row r="3894" spans="1:22" ht="48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0" t="s">
        <v>8314</v>
      </c>
      <c r="R3894" t="s">
        <v>8315</v>
      </c>
      <c r="S3894" s="14">
        <f t="shared" si="362"/>
        <v>41867.652280092596</v>
      </c>
      <c r="T3894" s="14">
        <f t="shared" si="363"/>
        <v>41875.291666666664</v>
      </c>
      <c r="U3894" s="64">
        <f t="shared" si="364"/>
        <v>7.6393865740683395</v>
      </c>
      <c r="V3894" s="13" t="str">
        <f t="shared" si="365"/>
        <v>underfunded</v>
      </c>
    </row>
    <row r="3895" spans="1:22" ht="48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8314</v>
      </c>
      <c r="R3895" t="s">
        <v>8315</v>
      </c>
      <c r="S3895" s="14">
        <f t="shared" si="362"/>
        <v>41779.657870370371</v>
      </c>
      <c r="T3895" s="14">
        <f t="shared" si="363"/>
        <v>41821.25</v>
      </c>
      <c r="U3895" s="64">
        <f t="shared" si="364"/>
        <v>41.592129629629198</v>
      </c>
      <c r="V3895" s="13" t="str">
        <f t="shared" si="365"/>
        <v>underfunded</v>
      </c>
    </row>
    <row r="3896" spans="1:22" ht="48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8314</v>
      </c>
      <c r="R3896" t="s">
        <v>8315</v>
      </c>
      <c r="S3896" s="14">
        <f t="shared" si="362"/>
        <v>42679.958472222221</v>
      </c>
      <c r="T3896" s="14">
        <f t="shared" si="363"/>
        <v>42710.207638888889</v>
      </c>
      <c r="U3896" s="64">
        <f t="shared" si="364"/>
        <v>30.249166666668316</v>
      </c>
      <c r="V3896" s="13" t="str">
        <f t="shared" si="365"/>
        <v>underfunded</v>
      </c>
    </row>
    <row r="3897" spans="1:22" ht="48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8314</v>
      </c>
      <c r="R3897" t="s">
        <v>8315</v>
      </c>
      <c r="S3897" s="14">
        <f t="shared" si="362"/>
        <v>42032.250208333338</v>
      </c>
      <c r="T3897" s="14">
        <f t="shared" si="363"/>
        <v>42063.250208333338</v>
      </c>
      <c r="U3897" s="64">
        <f t="shared" si="364"/>
        <v>31</v>
      </c>
      <c r="V3897" s="13" t="str">
        <f t="shared" si="365"/>
        <v>underfunded</v>
      </c>
    </row>
    <row r="3898" spans="1:22" ht="48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8314</v>
      </c>
      <c r="R3898" t="s">
        <v>8315</v>
      </c>
      <c r="S3898" s="14">
        <f t="shared" si="362"/>
        <v>41793.191875000004</v>
      </c>
      <c r="T3898" s="14">
        <f t="shared" si="363"/>
        <v>41807.191875000004</v>
      </c>
      <c r="U3898" s="64">
        <f t="shared" si="364"/>
        <v>14</v>
      </c>
      <c r="V3898" s="13" t="str">
        <f t="shared" si="365"/>
        <v>underfunded</v>
      </c>
    </row>
    <row r="3899" spans="1:22" ht="48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8314</v>
      </c>
      <c r="R3899" t="s">
        <v>8315</v>
      </c>
      <c r="S3899" s="14">
        <f t="shared" si="362"/>
        <v>41982.87364583333</v>
      </c>
      <c r="T3899" s="14">
        <f t="shared" si="363"/>
        <v>42012.87364583333</v>
      </c>
      <c r="U3899" s="64">
        <f t="shared" si="364"/>
        <v>30</v>
      </c>
      <c r="V3899" s="13" t="str">
        <f t="shared" si="365"/>
        <v>underfunded</v>
      </c>
    </row>
    <row r="3900" spans="1:22" ht="6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8314</v>
      </c>
      <c r="R3900" t="s">
        <v>8315</v>
      </c>
      <c r="S3900" s="14">
        <f t="shared" si="362"/>
        <v>42193.482291666667</v>
      </c>
      <c r="T3900" s="14">
        <f t="shared" si="363"/>
        <v>42233.666666666672</v>
      </c>
      <c r="U3900" s="64">
        <f t="shared" si="364"/>
        <v>40.184375000004366</v>
      </c>
      <c r="V3900" s="13" t="str">
        <f t="shared" si="365"/>
        <v>underfunded</v>
      </c>
    </row>
    <row r="3901" spans="1:22" ht="48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8314</v>
      </c>
      <c r="R3901" t="s">
        <v>8315</v>
      </c>
      <c r="S3901" s="14">
        <f t="shared" si="362"/>
        <v>41843.775011574071</v>
      </c>
      <c r="T3901" s="14">
        <f t="shared" si="363"/>
        <v>41863.775011574071</v>
      </c>
      <c r="U3901" s="64">
        <f t="shared" si="364"/>
        <v>20</v>
      </c>
      <c r="V3901" s="13" t="str">
        <f t="shared" si="365"/>
        <v>underfunded</v>
      </c>
    </row>
    <row r="3902" spans="1:22" ht="3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8314</v>
      </c>
      <c r="R3902" t="s">
        <v>8315</v>
      </c>
      <c r="S3902" s="14">
        <f t="shared" si="362"/>
        <v>42136.092488425929</v>
      </c>
      <c r="T3902" s="14">
        <f t="shared" si="363"/>
        <v>42166.092488425929</v>
      </c>
      <c r="U3902" s="64">
        <f t="shared" si="364"/>
        <v>30</v>
      </c>
      <c r="V3902" s="13" t="str">
        <f t="shared" si="365"/>
        <v>underfunded</v>
      </c>
    </row>
    <row r="3903" spans="1:22" ht="48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8314</v>
      </c>
      <c r="R3903" t="s">
        <v>8315</v>
      </c>
      <c r="S3903" s="14">
        <f t="shared" si="362"/>
        <v>42317.826377314821</v>
      </c>
      <c r="T3903" s="14">
        <f t="shared" si="363"/>
        <v>42357.826377314821</v>
      </c>
      <c r="U3903" s="64">
        <f t="shared" si="364"/>
        <v>40</v>
      </c>
      <c r="V3903" s="13" t="str">
        <f t="shared" si="365"/>
        <v>underfunded</v>
      </c>
    </row>
    <row r="3904" spans="1:22" ht="48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8314</v>
      </c>
      <c r="R3904" t="s">
        <v>8315</v>
      </c>
      <c r="S3904" s="14">
        <f t="shared" si="362"/>
        <v>42663.468078703707</v>
      </c>
      <c r="T3904" s="14">
        <f t="shared" si="363"/>
        <v>42688.509745370371</v>
      </c>
      <c r="U3904" s="64">
        <f t="shared" si="364"/>
        <v>25.041666666664241</v>
      </c>
      <c r="V3904" s="13" t="str">
        <f t="shared" si="365"/>
        <v>underfunded</v>
      </c>
    </row>
    <row r="3905" spans="1:22" ht="48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0" t="s">
        <v>8314</v>
      </c>
      <c r="R3905" t="s">
        <v>8315</v>
      </c>
      <c r="S3905" s="14">
        <f t="shared" si="362"/>
        <v>42186.01116898148</v>
      </c>
      <c r="T3905" s="14">
        <f t="shared" si="363"/>
        <v>42230.818055555559</v>
      </c>
      <c r="U3905" s="64">
        <f t="shared" si="364"/>
        <v>44.806886574078817</v>
      </c>
      <c r="V3905" s="13" t="str">
        <f t="shared" si="365"/>
        <v>underfunded</v>
      </c>
    </row>
    <row r="3906" spans="1:22" ht="16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0"/>
        <v>0</v>
      </c>
      <c r="P3906">
        <f t="shared" si="361"/>
        <v>1.5</v>
      </c>
      <c r="Q3906" s="10" t="s">
        <v>8314</v>
      </c>
      <c r="R3906" t="s">
        <v>8315</v>
      </c>
      <c r="S3906" s="14">
        <f t="shared" si="362"/>
        <v>42095.229166666672</v>
      </c>
      <c r="T3906" s="14">
        <f t="shared" si="363"/>
        <v>42109.211111111115</v>
      </c>
      <c r="U3906" s="64">
        <f t="shared" si="364"/>
        <v>13.981944444443798</v>
      </c>
      <c r="V3906" s="13" t="str">
        <f t="shared" si="365"/>
        <v>underfunded</v>
      </c>
    </row>
    <row r="3907" spans="1:22" ht="48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>ROUND(E3907/D3907*100,0)</f>
        <v>12</v>
      </c>
      <c r="P3907">
        <f t="shared" ref="P3907:P3970" si="367">IFERROR(ROUND(E3907/L3907,2), 0)</f>
        <v>24.71</v>
      </c>
      <c r="Q3907" s="10" t="s">
        <v>8314</v>
      </c>
      <c r="R3907" t="s">
        <v>8315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 s="64">
        <f t="shared" ref="U3907:V3970" si="370">T3907-S3907</f>
        <v>42.334456018514175</v>
      </c>
      <c r="V3907" s="13" t="str">
        <f t="shared" ref="V3907:V3970" si="371">IF(E3907&gt;=D3907, "funded", "underfunded")</f>
        <v>underfunded</v>
      </c>
    </row>
    <row r="3908" spans="1:22" ht="48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8314</v>
      </c>
      <c r="R3908" t="s">
        <v>8315</v>
      </c>
      <c r="S3908" s="14">
        <f t="shared" si="368"/>
        <v>42143.917743055557</v>
      </c>
      <c r="T3908" s="14">
        <f t="shared" si="369"/>
        <v>42181.559027777781</v>
      </c>
      <c r="U3908" s="64">
        <f t="shared" si="370"/>
        <v>37.641284722223645</v>
      </c>
      <c r="V3908" s="13" t="str">
        <f t="shared" si="371"/>
        <v>underfunded</v>
      </c>
    </row>
    <row r="3909" spans="1:22" ht="3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8314</v>
      </c>
      <c r="R3909" t="s">
        <v>8315</v>
      </c>
      <c r="S3909" s="14">
        <f t="shared" si="368"/>
        <v>41906.819513888891</v>
      </c>
      <c r="T3909" s="14">
        <f t="shared" si="369"/>
        <v>41938.838888888888</v>
      </c>
      <c r="U3909" s="64">
        <f t="shared" si="370"/>
        <v>32.019374999996217</v>
      </c>
      <c r="V3909" s="13" t="str">
        <f t="shared" si="371"/>
        <v>underfunded</v>
      </c>
    </row>
    <row r="3910" spans="1:22" ht="48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8314</v>
      </c>
      <c r="R3910" t="s">
        <v>8315</v>
      </c>
      <c r="S3910" s="14">
        <f t="shared" si="368"/>
        <v>41834.135370370372</v>
      </c>
      <c r="T3910" s="14">
        <f t="shared" si="369"/>
        <v>41849.135370370372</v>
      </c>
      <c r="U3910" s="64">
        <f t="shared" si="370"/>
        <v>15</v>
      </c>
      <c r="V3910" s="13" t="str">
        <f t="shared" si="371"/>
        <v>underfunded</v>
      </c>
    </row>
    <row r="3911" spans="1:22" ht="48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0" t="s">
        <v>8314</v>
      </c>
      <c r="R3911" t="s">
        <v>8315</v>
      </c>
      <c r="S3911" s="14">
        <f t="shared" si="368"/>
        <v>41863.359282407408</v>
      </c>
      <c r="T3911" s="14">
        <f t="shared" si="369"/>
        <v>41893.359282407408</v>
      </c>
      <c r="U3911" s="64">
        <f t="shared" si="370"/>
        <v>30</v>
      </c>
      <c r="V3911" s="13" t="str">
        <f t="shared" si="371"/>
        <v>underfunded</v>
      </c>
    </row>
    <row r="3912" spans="1:22" ht="48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8314</v>
      </c>
      <c r="R3912" t="s">
        <v>8315</v>
      </c>
      <c r="S3912" s="14">
        <f t="shared" si="368"/>
        <v>42224.756909722222</v>
      </c>
      <c r="T3912" s="14">
        <f t="shared" si="369"/>
        <v>42254.756909722222</v>
      </c>
      <c r="U3912" s="64">
        <f t="shared" si="370"/>
        <v>30</v>
      </c>
      <c r="V3912" s="13" t="str">
        <f t="shared" si="371"/>
        <v>underfunded</v>
      </c>
    </row>
    <row r="3913" spans="1:22" ht="48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8314</v>
      </c>
      <c r="R3913" t="s">
        <v>8315</v>
      </c>
      <c r="S3913" s="14">
        <f t="shared" si="368"/>
        <v>41939.8122337963</v>
      </c>
      <c r="T3913" s="14">
        <f t="shared" si="369"/>
        <v>41969.853900462964</v>
      </c>
      <c r="U3913" s="64">
        <f t="shared" si="370"/>
        <v>30.041666666664241</v>
      </c>
      <c r="V3913" s="13" t="str">
        <f t="shared" si="371"/>
        <v>underfunded</v>
      </c>
    </row>
    <row r="3914" spans="1:22" ht="48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0" t="s">
        <v>8314</v>
      </c>
      <c r="R3914" t="s">
        <v>8315</v>
      </c>
      <c r="S3914" s="14">
        <f t="shared" si="368"/>
        <v>42059.270023148143</v>
      </c>
      <c r="T3914" s="14">
        <f t="shared" si="369"/>
        <v>42119.190972222219</v>
      </c>
      <c r="U3914" s="64">
        <f t="shared" si="370"/>
        <v>59.920949074075907</v>
      </c>
      <c r="V3914" s="13" t="str">
        <f t="shared" si="371"/>
        <v>underfunded</v>
      </c>
    </row>
    <row r="3915" spans="1:22" ht="48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8314</v>
      </c>
      <c r="R3915" t="s">
        <v>8315</v>
      </c>
      <c r="S3915" s="14">
        <f t="shared" si="368"/>
        <v>42308.211215277777</v>
      </c>
      <c r="T3915" s="14">
        <f t="shared" si="369"/>
        <v>42338.252881944441</v>
      </c>
      <c r="U3915" s="64">
        <f t="shared" si="370"/>
        <v>30.041666666664241</v>
      </c>
      <c r="V3915" s="13" t="str">
        <f t="shared" si="371"/>
        <v>underfunded</v>
      </c>
    </row>
    <row r="3916" spans="1:22" ht="48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8314</v>
      </c>
      <c r="R3916" t="s">
        <v>8315</v>
      </c>
      <c r="S3916" s="14">
        <f t="shared" si="368"/>
        <v>42114.818935185183</v>
      </c>
      <c r="T3916" s="14">
        <f t="shared" si="369"/>
        <v>42134.957638888889</v>
      </c>
      <c r="U3916" s="64">
        <f t="shared" si="370"/>
        <v>20.138703703705687</v>
      </c>
      <c r="V3916" s="13" t="str">
        <f t="shared" si="371"/>
        <v>underfunded</v>
      </c>
    </row>
    <row r="3917" spans="1:22" ht="48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0" t="s">
        <v>8314</v>
      </c>
      <c r="R3917" t="s">
        <v>8315</v>
      </c>
      <c r="S3917" s="14">
        <f t="shared" si="368"/>
        <v>42492.98505787037</v>
      </c>
      <c r="T3917" s="14">
        <f t="shared" si="369"/>
        <v>42522.98505787037</v>
      </c>
      <c r="U3917" s="64">
        <f t="shared" si="370"/>
        <v>30</v>
      </c>
      <c r="V3917" s="13" t="str">
        <f t="shared" si="371"/>
        <v>underfunded</v>
      </c>
    </row>
    <row r="3918" spans="1:22" ht="48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0" t="s">
        <v>8314</v>
      </c>
      <c r="R3918" t="s">
        <v>8315</v>
      </c>
      <c r="S3918" s="14">
        <f t="shared" si="368"/>
        <v>42494.471666666665</v>
      </c>
      <c r="T3918" s="14">
        <f t="shared" si="369"/>
        <v>42524.471666666665</v>
      </c>
      <c r="U3918" s="64">
        <f t="shared" si="370"/>
        <v>30</v>
      </c>
      <c r="V3918" s="13" t="str">
        <f t="shared" si="371"/>
        <v>underfunded</v>
      </c>
    </row>
    <row r="3919" spans="1:22" ht="48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0" t="s">
        <v>8314</v>
      </c>
      <c r="R3919" t="s">
        <v>8315</v>
      </c>
      <c r="S3919" s="14">
        <f t="shared" si="368"/>
        <v>41863.527326388888</v>
      </c>
      <c r="T3919" s="14">
        <f t="shared" si="369"/>
        <v>41893.527326388888</v>
      </c>
      <c r="U3919" s="64">
        <f t="shared" si="370"/>
        <v>30</v>
      </c>
      <c r="V3919" s="13" t="str">
        <f t="shared" si="371"/>
        <v>underfunded</v>
      </c>
    </row>
    <row r="3920" spans="1:22" ht="48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0" t="s">
        <v>8314</v>
      </c>
      <c r="R3920" t="s">
        <v>8315</v>
      </c>
      <c r="S3920" s="14">
        <f t="shared" si="368"/>
        <v>41843.664618055554</v>
      </c>
      <c r="T3920" s="14">
        <f t="shared" si="369"/>
        <v>41855.666666666664</v>
      </c>
      <c r="U3920" s="64">
        <f t="shared" si="370"/>
        <v>12.002048611109785</v>
      </c>
      <c r="V3920" s="13" t="str">
        <f t="shared" si="371"/>
        <v>underfunded</v>
      </c>
    </row>
    <row r="3921" spans="1:22" ht="48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8314</v>
      </c>
      <c r="R3921" t="s">
        <v>8315</v>
      </c>
      <c r="S3921" s="14">
        <f t="shared" si="368"/>
        <v>42358.684872685189</v>
      </c>
      <c r="T3921" s="14">
        <f t="shared" si="369"/>
        <v>42387</v>
      </c>
      <c r="U3921" s="64">
        <f t="shared" si="370"/>
        <v>28.315127314810525</v>
      </c>
      <c r="V3921" s="13" t="str">
        <f t="shared" si="371"/>
        <v>underfunded</v>
      </c>
    </row>
    <row r="3922" spans="1:22" ht="48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8314</v>
      </c>
      <c r="R3922" t="s">
        <v>8315</v>
      </c>
      <c r="S3922" s="14">
        <f t="shared" si="368"/>
        <v>42657.38726851852</v>
      </c>
      <c r="T3922" s="14">
        <f t="shared" si="369"/>
        <v>42687.428935185191</v>
      </c>
      <c r="U3922" s="64">
        <f t="shared" si="370"/>
        <v>30.041666666671517</v>
      </c>
      <c r="V3922" s="13" t="str">
        <f t="shared" si="371"/>
        <v>underfunded</v>
      </c>
    </row>
    <row r="3923" spans="1:22" ht="48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0" t="s">
        <v>8314</v>
      </c>
      <c r="R3923" t="s">
        <v>8315</v>
      </c>
      <c r="S3923" s="14">
        <f t="shared" si="368"/>
        <v>41926.542303240742</v>
      </c>
      <c r="T3923" s="14">
        <f t="shared" si="369"/>
        <v>41938.75</v>
      </c>
      <c r="U3923" s="64">
        <f t="shared" si="370"/>
        <v>12.207696759258397</v>
      </c>
      <c r="V3923" s="13" t="str">
        <f t="shared" si="371"/>
        <v>underfunded</v>
      </c>
    </row>
    <row r="3924" spans="1:22" ht="48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8314</v>
      </c>
      <c r="R3924" t="s">
        <v>8315</v>
      </c>
      <c r="S3924" s="14">
        <f t="shared" si="368"/>
        <v>42020.768634259264</v>
      </c>
      <c r="T3924" s="14">
        <f t="shared" si="369"/>
        <v>42065.958333333328</v>
      </c>
      <c r="U3924" s="64">
        <f t="shared" si="370"/>
        <v>45.189699074064265</v>
      </c>
      <c r="V3924" s="13" t="str">
        <f t="shared" si="371"/>
        <v>underfunded</v>
      </c>
    </row>
    <row r="3925" spans="1:22" ht="48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8314</v>
      </c>
      <c r="R3925" t="s">
        <v>8315</v>
      </c>
      <c r="S3925" s="14">
        <f t="shared" si="368"/>
        <v>42075.979988425926</v>
      </c>
      <c r="T3925" s="14">
        <f t="shared" si="369"/>
        <v>42103.979988425926</v>
      </c>
      <c r="U3925" s="64">
        <f t="shared" si="370"/>
        <v>28</v>
      </c>
      <c r="V3925" s="13" t="str">
        <f t="shared" si="371"/>
        <v>underfunded</v>
      </c>
    </row>
    <row r="3926" spans="1:22" ht="48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8314</v>
      </c>
      <c r="R3926" t="s">
        <v>8315</v>
      </c>
      <c r="S3926" s="14">
        <f t="shared" si="368"/>
        <v>41786.959745370368</v>
      </c>
      <c r="T3926" s="14">
        <f t="shared" si="369"/>
        <v>41816.959745370368</v>
      </c>
      <c r="U3926" s="64">
        <f t="shared" si="370"/>
        <v>30</v>
      </c>
      <c r="V3926" s="13" t="str">
        <f t="shared" si="371"/>
        <v>underfunded</v>
      </c>
    </row>
    <row r="3927" spans="1:22" ht="48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8314</v>
      </c>
      <c r="R3927" t="s">
        <v>8315</v>
      </c>
      <c r="S3927" s="14">
        <f t="shared" si="368"/>
        <v>41820.870821759258</v>
      </c>
      <c r="T3927" s="14">
        <f t="shared" si="369"/>
        <v>41850.870821759258</v>
      </c>
      <c r="U3927" s="64">
        <f t="shared" si="370"/>
        <v>30</v>
      </c>
      <c r="V3927" s="13" t="str">
        <f t="shared" si="371"/>
        <v>underfunded</v>
      </c>
    </row>
    <row r="3928" spans="1:22" ht="3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0" t="s">
        <v>8314</v>
      </c>
      <c r="R3928" t="s">
        <v>8315</v>
      </c>
      <c r="S3928" s="14">
        <f t="shared" si="368"/>
        <v>41970.085046296299</v>
      </c>
      <c r="T3928" s="14">
        <f t="shared" si="369"/>
        <v>42000.085046296299</v>
      </c>
      <c r="U3928" s="64">
        <f t="shared" si="370"/>
        <v>30</v>
      </c>
      <c r="V3928" s="13" t="str">
        <f t="shared" si="371"/>
        <v>underfunded</v>
      </c>
    </row>
    <row r="3929" spans="1:22" ht="48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8314</v>
      </c>
      <c r="R3929" t="s">
        <v>8315</v>
      </c>
      <c r="S3929" s="14">
        <f t="shared" si="368"/>
        <v>41830.267407407409</v>
      </c>
      <c r="T3929" s="14">
        <f t="shared" si="369"/>
        <v>41860.267407407409</v>
      </c>
      <c r="U3929" s="64">
        <f t="shared" si="370"/>
        <v>30</v>
      </c>
      <c r="V3929" s="13" t="str">
        <f t="shared" si="371"/>
        <v>underfunded</v>
      </c>
    </row>
    <row r="3930" spans="1:22" ht="48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8314</v>
      </c>
      <c r="R3930" t="s">
        <v>8315</v>
      </c>
      <c r="S3930" s="14">
        <f t="shared" si="368"/>
        <v>42265.683182870373</v>
      </c>
      <c r="T3930" s="14">
        <f t="shared" si="369"/>
        <v>42293.207638888889</v>
      </c>
      <c r="U3930" s="64">
        <f t="shared" si="370"/>
        <v>27.524456018516503</v>
      </c>
      <c r="V3930" s="13" t="str">
        <f t="shared" si="371"/>
        <v>underfunded</v>
      </c>
    </row>
    <row r="3931" spans="1:22" ht="48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8314</v>
      </c>
      <c r="R3931" t="s">
        <v>8315</v>
      </c>
      <c r="S3931" s="14">
        <f t="shared" si="368"/>
        <v>42601.827141203699</v>
      </c>
      <c r="T3931" s="14">
        <f t="shared" si="369"/>
        <v>42631.827141203699</v>
      </c>
      <c r="U3931" s="64">
        <f t="shared" si="370"/>
        <v>30</v>
      </c>
      <c r="V3931" s="13" t="str">
        <f t="shared" si="371"/>
        <v>underfunded</v>
      </c>
    </row>
    <row r="3932" spans="1:22" ht="48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0" t="s">
        <v>8314</v>
      </c>
      <c r="R3932" t="s">
        <v>8315</v>
      </c>
      <c r="S3932" s="14">
        <f t="shared" si="368"/>
        <v>42433.338749999995</v>
      </c>
      <c r="T3932" s="14">
        <f t="shared" si="369"/>
        <v>42461.25</v>
      </c>
      <c r="U3932" s="64">
        <f t="shared" si="370"/>
        <v>27.911250000004657</v>
      </c>
      <c r="V3932" s="13" t="str">
        <f t="shared" si="371"/>
        <v>underfunded</v>
      </c>
    </row>
    <row r="3933" spans="1:22" ht="48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0" t="s">
        <v>8314</v>
      </c>
      <c r="R3933" t="s">
        <v>8315</v>
      </c>
      <c r="S3933" s="14">
        <f t="shared" si="368"/>
        <v>42228.151701388888</v>
      </c>
      <c r="T3933" s="14">
        <f t="shared" si="369"/>
        <v>42253.151701388888</v>
      </c>
      <c r="U3933" s="64">
        <f t="shared" si="370"/>
        <v>25</v>
      </c>
      <c r="V3933" s="13" t="str">
        <f t="shared" si="371"/>
        <v>underfunded</v>
      </c>
    </row>
    <row r="3934" spans="1:22" ht="48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0" t="s">
        <v>8314</v>
      </c>
      <c r="R3934" t="s">
        <v>8315</v>
      </c>
      <c r="S3934" s="14">
        <f t="shared" si="368"/>
        <v>42415.168564814812</v>
      </c>
      <c r="T3934" s="14">
        <f t="shared" si="369"/>
        <v>42445.126898148148</v>
      </c>
      <c r="U3934" s="64">
        <f t="shared" si="370"/>
        <v>29.958333333335759</v>
      </c>
      <c r="V3934" s="13" t="str">
        <f t="shared" si="371"/>
        <v>underfunded</v>
      </c>
    </row>
    <row r="3935" spans="1:22" ht="48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8314</v>
      </c>
      <c r="R3935" t="s">
        <v>8315</v>
      </c>
      <c r="S3935" s="14">
        <f t="shared" si="368"/>
        <v>42538.968310185184</v>
      </c>
      <c r="T3935" s="14">
        <f t="shared" si="369"/>
        <v>42568.029861111107</v>
      </c>
      <c r="U3935" s="64">
        <f t="shared" si="370"/>
        <v>29.061550925922347</v>
      </c>
      <c r="V3935" s="13" t="str">
        <f t="shared" si="371"/>
        <v>underfunded</v>
      </c>
    </row>
    <row r="3936" spans="1:22" ht="48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8314</v>
      </c>
      <c r="R3936" t="s">
        <v>8315</v>
      </c>
      <c r="S3936" s="14">
        <f t="shared" si="368"/>
        <v>42233.671747685185</v>
      </c>
      <c r="T3936" s="14">
        <f t="shared" si="369"/>
        <v>42278.541666666672</v>
      </c>
      <c r="U3936" s="64">
        <f t="shared" si="370"/>
        <v>44.86991898148699</v>
      </c>
      <c r="V3936" s="13" t="str">
        <f t="shared" si="371"/>
        <v>underfunded</v>
      </c>
    </row>
    <row r="3937" spans="1:22" ht="6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8314</v>
      </c>
      <c r="R3937" t="s">
        <v>8315</v>
      </c>
      <c r="S3937" s="14">
        <f t="shared" si="368"/>
        <v>42221.656782407401</v>
      </c>
      <c r="T3937" s="14">
        <f t="shared" si="369"/>
        <v>42281.656782407401</v>
      </c>
      <c r="U3937" s="64">
        <f t="shared" si="370"/>
        <v>60</v>
      </c>
      <c r="V3937" s="13" t="str">
        <f t="shared" si="371"/>
        <v>underfunded</v>
      </c>
    </row>
    <row r="3938" spans="1:22" ht="48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0" t="s">
        <v>8314</v>
      </c>
      <c r="R3938" t="s">
        <v>8315</v>
      </c>
      <c r="S3938" s="14">
        <f t="shared" si="368"/>
        <v>42675.262962962966</v>
      </c>
      <c r="T3938" s="14">
        <f t="shared" si="369"/>
        <v>42705.304629629631</v>
      </c>
      <c r="U3938" s="64">
        <f t="shared" si="370"/>
        <v>30.041666666664241</v>
      </c>
      <c r="V3938" s="13" t="str">
        <f t="shared" si="371"/>
        <v>underfunded</v>
      </c>
    </row>
    <row r="3939" spans="1:22" ht="48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8314</v>
      </c>
      <c r="R3939" t="s">
        <v>8315</v>
      </c>
      <c r="S3939" s="14">
        <f t="shared" si="368"/>
        <v>42534.631481481483</v>
      </c>
      <c r="T3939" s="14">
        <f t="shared" si="369"/>
        <v>42562.631481481483</v>
      </c>
      <c r="U3939" s="64">
        <f t="shared" si="370"/>
        <v>28</v>
      </c>
      <c r="V3939" s="13" t="str">
        <f t="shared" si="371"/>
        <v>underfunded</v>
      </c>
    </row>
    <row r="3940" spans="1:22" ht="48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8314</v>
      </c>
      <c r="R3940" t="s">
        <v>8315</v>
      </c>
      <c r="S3940" s="14">
        <f t="shared" si="368"/>
        <v>42151.905717592599</v>
      </c>
      <c r="T3940" s="14">
        <f t="shared" si="369"/>
        <v>42182.905717592599</v>
      </c>
      <c r="U3940" s="64">
        <f t="shared" si="370"/>
        <v>31</v>
      </c>
      <c r="V3940" s="13" t="str">
        <f t="shared" si="371"/>
        <v>underfunded</v>
      </c>
    </row>
    <row r="3941" spans="1:22" ht="48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0" t="s">
        <v>8314</v>
      </c>
      <c r="R3941" t="s">
        <v>8315</v>
      </c>
      <c r="S3941" s="14">
        <f t="shared" si="368"/>
        <v>41915.400219907409</v>
      </c>
      <c r="T3941" s="14">
        <f t="shared" si="369"/>
        <v>41919.1875</v>
      </c>
      <c r="U3941" s="64">
        <f t="shared" si="370"/>
        <v>3.7872800925906631</v>
      </c>
      <c r="V3941" s="13" t="str">
        <f t="shared" si="371"/>
        <v>underfunded</v>
      </c>
    </row>
    <row r="3942" spans="1:22" ht="48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0" t="s">
        <v>8314</v>
      </c>
      <c r="R3942" t="s">
        <v>8315</v>
      </c>
      <c r="S3942" s="14">
        <f t="shared" si="368"/>
        <v>41961.492488425924</v>
      </c>
      <c r="T3942" s="14">
        <f t="shared" si="369"/>
        <v>42006.492488425924</v>
      </c>
      <c r="U3942" s="64">
        <f t="shared" si="370"/>
        <v>45</v>
      </c>
      <c r="V3942" s="13" t="str">
        <f t="shared" si="371"/>
        <v>underfunded</v>
      </c>
    </row>
    <row r="3943" spans="1:22" ht="48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8314</v>
      </c>
      <c r="R3943" t="s">
        <v>8315</v>
      </c>
      <c r="S3943" s="14">
        <f t="shared" si="368"/>
        <v>41940.587233796294</v>
      </c>
      <c r="T3943" s="14">
        <f t="shared" si="369"/>
        <v>41968.041666666672</v>
      </c>
      <c r="U3943" s="64">
        <f t="shared" si="370"/>
        <v>27.454432870377786</v>
      </c>
      <c r="V3943" s="13" t="str">
        <f t="shared" si="371"/>
        <v>underfunded</v>
      </c>
    </row>
    <row r="3944" spans="1:22" ht="48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0" t="s">
        <v>8314</v>
      </c>
      <c r="R3944" t="s">
        <v>8315</v>
      </c>
      <c r="S3944" s="14">
        <f t="shared" si="368"/>
        <v>42111.904097222221</v>
      </c>
      <c r="T3944" s="14">
        <f t="shared" si="369"/>
        <v>42171.904097222221</v>
      </c>
      <c r="U3944" s="64">
        <f t="shared" si="370"/>
        <v>60</v>
      </c>
      <c r="V3944" s="13" t="str">
        <f t="shared" si="371"/>
        <v>underfunded</v>
      </c>
    </row>
    <row r="3945" spans="1:22" ht="48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8314</v>
      </c>
      <c r="R3945" t="s">
        <v>8315</v>
      </c>
      <c r="S3945" s="14">
        <f t="shared" si="368"/>
        <v>42279.778564814813</v>
      </c>
      <c r="T3945" s="14">
        <f t="shared" si="369"/>
        <v>42310.701388888891</v>
      </c>
      <c r="U3945" s="64">
        <f t="shared" si="370"/>
        <v>30.922824074077653</v>
      </c>
      <c r="V3945" s="13" t="str">
        <f t="shared" si="371"/>
        <v>underfunded</v>
      </c>
    </row>
    <row r="3946" spans="1:22" ht="48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0" t="s">
        <v>8314</v>
      </c>
      <c r="R3946" t="s">
        <v>8315</v>
      </c>
      <c r="S3946" s="14">
        <f t="shared" si="368"/>
        <v>42213.662905092591</v>
      </c>
      <c r="T3946" s="14">
        <f t="shared" si="369"/>
        <v>42243.662905092591</v>
      </c>
      <c r="U3946" s="64">
        <f t="shared" si="370"/>
        <v>30</v>
      </c>
      <c r="V3946" s="13" t="str">
        <f t="shared" si="371"/>
        <v>underfunded</v>
      </c>
    </row>
    <row r="3947" spans="1:22" ht="48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0" t="s">
        <v>8314</v>
      </c>
      <c r="R3947" t="s">
        <v>8315</v>
      </c>
      <c r="S3947" s="14">
        <f t="shared" si="368"/>
        <v>42109.801712962959</v>
      </c>
      <c r="T3947" s="14">
        <f t="shared" si="369"/>
        <v>42139.801712962959</v>
      </c>
      <c r="U3947" s="64">
        <f t="shared" si="370"/>
        <v>30</v>
      </c>
      <c r="V3947" s="13" t="str">
        <f t="shared" si="371"/>
        <v>underfunded</v>
      </c>
    </row>
    <row r="3948" spans="1:22" ht="3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8314</v>
      </c>
      <c r="R3948" t="s">
        <v>8315</v>
      </c>
      <c r="S3948" s="14">
        <f t="shared" si="368"/>
        <v>42031.833587962959</v>
      </c>
      <c r="T3948" s="14">
        <f t="shared" si="369"/>
        <v>42063.333333333328</v>
      </c>
      <c r="U3948" s="64">
        <f t="shared" si="370"/>
        <v>31.499745370369055</v>
      </c>
      <c r="V3948" s="13" t="str">
        <f t="shared" si="371"/>
        <v>underfunded</v>
      </c>
    </row>
    <row r="3949" spans="1:22" ht="48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8314</v>
      </c>
      <c r="R3949" t="s">
        <v>8315</v>
      </c>
      <c r="S3949" s="14">
        <f t="shared" si="368"/>
        <v>42615.142870370371</v>
      </c>
      <c r="T3949" s="14">
        <f t="shared" si="369"/>
        <v>42645.142870370371</v>
      </c>
      <c r="U3949" s="64">
        <f t="shared" si="370"/>
        <v>30</v>
      </c>
      <c r="V3949" s="13" t="str">
        <f t="shared" si="371"/>
        <v>underfunded</v>
      </c>
    </row>
    <row r="3950" spans="1:22" ht="48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0" t="s">
        <v>8314</v>
      </c>
      <c r="R3950" t="s">
        <v>8315</v>
      </c>
      <c r="S3950" s="14">
        <f t="shared" si="368"/>
        <v>41829.325497685182</v>
      </c>
      <c r="T3950" s="14">
        <f t="shared" si="369"/>
        <v>41889.325497685182</v>
      </c>
      <c r="U3950" s="64">
        <f t="shared" si="370"/>
        <v>60</v>
      </c>
      <c r="V3950" s="13" t="str">
        <f t="shared" si="371"/>
        <v>underfunded</v>
      </c>
    </row>
    <row r="3951" spans="1:22" ht="48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8314</v>
      </c>
      <c r="R3951" t="s">
        <v>8315</v>
      </c>
      <c r="S3951" s="14">
        <f t="shared" si="368"/>
        <v>42016.120613425926</v>
      </c>
      <c r="T3951" s="14">
        <f t="shared" si="369"/>
        <v>42046.120613425926</v>
      </c>
      <c r="U3951" s="64">
        <f t="shared" si="370"/>
        <v>30</v>
      </c>
      <c r="V3951" s="13" t="str">
        <f t="shared" si="371"/>
        <v>underfunded</v>
      </c>
    </row>
    <row r="3952" spans="1:22" ht="48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8314</v>
      </c>
      <c r="R3952" t="s">
        <v>8315</v>
      </c>
      <c r="S3952" s="14">
        <f t="shared" si="368"/>
        <v>42439.702314814815</v>
      </c>
      <c r="T3952" s="14">
        <f t="shared" si="369"/>
        <v>42468.774305555555</v>
      </c>
      <c r="U3952" s="64">
        <f t="shared" si="370"/>
        <v>29.071990740740148</v>
      </c>
      <c r="V3952" s="13" t="str">
        <f t="shared" si="371"/>
        <v>underfunded</v>
      </c>
    </row>
    <row r="3953" spans="1:22" ht="48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0" t="s">
        <v>8314</v>
      </c>
      <c r="R3953" t="s">
        <v>8315</v>
      </c>
      <c r="S3953" s="14">
        <f t="shared" si="368"/>
        <v>42433.825717592597</v>
      </c>
      <c r="T3953" s="14">
        <f t="shared" si="369"/>
        <v>42493.784050925926</v>
      </c>
      <c r="U3953" s="64">
        <f t="shared" si="370"/>
        <v>59.958333333328483</v>
      </c>
      <c r="V3953" s="13" t="str">
        <f t="shared" si="371"/>
        <v>underfunded</v>
      </c>
    </row>
    <row r="3954" spans="1:22" ht="48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0" t="s">
        <v>8314</v>
      </c>
      <c r="R3954" t="s">
        <v>8315</v>
      </c>
      <c r="S3954" s="14">
        <f t="shared" si="368"/>
        <v>42243.790393518517</v>
      </c>
      <c r="T3954" s="14">
        <f t="shared" si="369"/>
        <v>42303.790393518517</v>
      </c>
      <c r="U3954" s="64">
        <f t="shared" si="370"/>
        <v>60</v>
      </c>
      <c r="V3954" s="13" t="str">
        <f t="shared" si="371"/>
        <v>underfunded</v>
      </c>
    </row>
    <row r="3955" spans="1:22" ht="48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0" t="s">
        <v>8314</v>
      </c>
      <c r="R3955" t="s">
        <v>8315</v>
      </c>
      <c r="S3955" s="14">
        <f t="shared" si="368"/>
        <v>42550.048449074078</v>
      </c>
      <c r="T3955" s="14">
        <f t="shared" si="369"/>
        <v>42580.978472222225</v>
      </c>
      <c r="U3955" s="64">
        <f t="shared" si="370"/>
        <v>30.930023148146574</v>
      </c>
      <c r="V3955" s="13" t="str">
        <f t="shared" si="371"/>
        <v>underfunded</v>
      </c>
    </row>
    <row r="3956" spans="1:22" ht="48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0" t="s">
        <v>8314</v>
      </c>
      <c r="R3956" t="s">
        <v>8315</v>
      </c>
      <c r="S3956" s="14">
        <f t="shared" si="368"/>
        <v>41774.651203703703</v>
      </c>
      <c r="T3956" s="14">
        <f t="shared" si="369"/>
        <v>41834.651203703703</v>
      </c>
      <c r="U3956" s="64">
        <f t="shared" si="370"/>
        <v>60</v>
      </c>
      <c r="V3956" s="13" t="str">
        <f t="shared" si="371"/>
        <v>underfunded</v>
      </c>
    </row>
    <row r="3957" spans="1:22" ht="48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8314</v>
      </c>
      <c r="R3957" t="s">
        <v>8315</v>
      </c>
      <c r="S3957" s="14">
        <f t="shared" si="368"/>
        <v>42306.848854166667</v>
      </c>
      <c r="T3957" s="14">
        <f t="shared" si="369"/>
        <v>42336.890520833331</v>
      </c>
      <c r="U3957" s="64">
        <f t="shared" si="370"/>
        <v>30.041666666664241</v>
      </c>
      <c r="V3957" s="13" t="str">
        <f t="shared" si="371"/>
        <v>underfunded</v>
      </c>
    </row>
    <row r="3958" spans="1:22" ht="48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0" t="s">
        <v>8314</v>
      </c>
      <c r="R3958" t="s">
        <v>8315</v>
      </c>
      <c r="S3958" s="14">
        <f t="shared" si="368"/>
        <v>42457.932025462964</v>
      </c>
      <c r="T3958" s="14">
        <f t="shared" si="369"/>
        <v>42485.013888888891</v>
      </c>
      <c r="U3958" s="64">
        <f t="shared" si="370"/>
        <v>27.081863425926713</v>
      </c>
      <c r="V3958" s="13" t="str">
        <f t="shared" si="371"/>
        <v>underfunded</v>
      </c>
    </row>
    <row r="3959" spans="1:22" ht="48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0" t="s">
        <v>8314</v>
      </c>
      <c r="R3959" t="s">
        <v>8315</v>
      </c>
      <c r="S3959" s="14">
        <f t="shared" si="368"/>
        <v>42513.976319444439</v>
      </c>
      <c r="T3959" s="14">
        <f t="shared" si="369"/>
        <v>42559.976319444439</v>
      </c>
      <c r="U3959" s="64">
        <f t="shared" si="370"/>
        <v>46</v>
      </c>
      <c r="V3959" s="13" t="str">
        <f t="shared" si="371"/>
        <v>underfunded</v>
      </c>
    </row>
    <row r="3960" spans="1:22" ht="48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8314</v>
      </c>
      <c r="R3960" t="s">
        <v>8315</v>
      </c>
      <c r="S3960" s="14">
        <f t="shared" si="368"/>
        <v>41816.950370370374</v>
      </c>
      <c r="T3960" s="14">
        <f t="shared" si="369"/>
        <v>41853.583333333336</v>
      </c>
      <c r="U3960" s="64">
        <f t="shared" si="370"/>
        <v>36.632962962961756</v>
      </c>
      <c r="V3960" s="13" t="str">
        <f t="shared" si="371"/>
        <v>underfunded</v>
      </c>
    </row>
    <row r="3961" spans="1:22" ht="48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8314</v>
      </c>
      <c r="R3961" t="s">
        <v>8315</v>
      </c>
      <c r="S3961" s="14">
        <f t="shared" si="368"/>
        <v>41880.788842592592</v>
      </c>
      <c r="T3961" s="14">
        <f t="shared" si="369"/>
        <v>41910.788842592592</v>
      </c>
      <c r="U3961" s="64">
        <f t="shared" si="370"/>
        <v>30</v>
      </c>
      <c r="V3961" s="13" t="str">
        <f t="shared" si="371"/>
        <v>underfunded</v>
      </c>
    </row>
    <row r="3962" spans="1:22" ht="48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8314</v>
      </c>
      <c r="R3962" t="s">
        <v>8315</v>
      </c>
      <c r="S3962" s="14">
        <f t="shared" si="368"/>
        <v>42342.845555555556</v>
      </c>
      <c r="T3962" s="14">
        <f t="shared" si="369"/>
        <v>42372.845555555556</v>
      </c>
      <c r="U3962" s="64">
        <f t="shared" si="370"/>
        <v>30</v>
      </c>
      <c r="V3962" s="13" t="str">
        <f t="shared" si="371"/>
        <v>underfunded</v>
      </c>
    </row>
    <row r="3963" spans="1:22" ht="48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0" t="s">
        <v>8314</v>
      </c>
      <c r="R3963" t="s">
        <v>8315</v>
      </c>
      <c r="S3963" s="14">
        <f t="shared" si="368"/>
        <v>41745.891319444447</v>
      </c>
      <c r="T3963" s="14">
        <f t="shared" si="369"/>
        <v>41767.891319444447</v>
      </c>
      <c r="U3963" s="64">
        <f t="shared" si="370"/>
        <v>22</v>
      </c>
      <c r="V3963" s="13" t="str">
        <f t="shared" si="371"/>
        <v>underfunded</v>
      </c>
    </row>
    <row r="3964" spans="1:22" ht="48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8314</v>
      </c>
      <c r="R3964" t="s">
        <v>8315</v>
      </c>
      <c r="S3964" s="14">
        <f t="shared" si="368"/>
        <v>42311.621458333335</v>
      </c>
      <c r="T3964" s="14">
        <f t="shared" si="369"/>
        <v>42336.621458333335</v>
      </c>
      <c r="U3964" s="64">
        <f t="shared" si="370"/>
        <v>25</v>
      </c>
      <c r="V3964" s="13" t="str">
        <f t="shared" si="371"/>
        <v>underfunded</v>
      </c>
    </row>
    <row r="3965" spans="1:22" ht="48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0" t="s">
        <v>8314</v>
      </c>
      <c r="R3965" t="s">
        <v>8315</v>
      </c>
      <c r="S3965" s="14">
        <f t="shared" si="368"/>
        <v>42296.154131944444</v>
      </c>
      <c r="T3965" s="14">
        <f t="shared" si="369"/>
        <v>42326.195798611108</v>
      </c>
      <c r="U3965" s="64">
        <f t="shared" si="370"/>
        <v>30.041666666664241</v>
      </c>
      <c r="V3965" s="13" t="str">
        <f t="shared" si="371"/>
        <v>underfunded</v>
      </c>
    </row>
    <row r="3966" spans="1:22" ht="48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8314</v>
      </c>
      <c r="R3966" t="s">
        <v>8315</v>
      </c>
      <c r="S3966" s="14">
        <f t="shared" si="368"/>
        <v>42053.722060185188</v>
      </c>
      <c r="T3966" s="14">
        <f t="shared" si="369"/>
        <v>42113.680393518516</v>
      </c>
      <c r="U3966" s="64">
        <f t="shared" si="370"/>
        <v>59.958333333328483</v>
      </c>
      <c r="V3966" s="13" t="str">
        <f t="shared" si="371"/>
        <v>underfunded</v>
      </c>
    </row>
    <row r="3967" spans="1:22" ht="48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8314</v>
      </c>
      <c r="R3967" t="s">
        <v>8315</v>
      </c>
      <c r="S3967" s="14">
        <f t="shared" si="368"/>
        <v>42414.235879629632</v>
      </c>
      <c r="T3967" s="14">
        <f t="shared" si="369"/>
        <v>42474.194212962961</v>
      </c>
      <c r="U3967" s="64">
        <f t="shared" si="370"/>
        <v>59.958333333328483</v>
      </c>
      <c r="V3967" s="13" t="str">
        <f t="shared" si="371"/>
        <v>underfunded</v>
      </c>
    </row>
    <row r="3968" spans="1:22" ht="48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8314</v>
      </c>
      <c r="R3968" t="s">
        <v>8315</v>
      </c>
      <c r="S3968" s="14">
        <f t="shared" si="368"/>
        <v>41801.711550925924</v>
      </c>
      <c r="T3968" s="14">
        <f t="shared" si="369"/>
        <v>41844.124305555553</v>
      </c>
      <c r="U3968" s="64">
        <f t="shared" si="370"/>
        <v>42.41275462962949</v>
      </c>
      <c r="V3968" s="13" t="str">
        <f t="shared" si="371"/>
        <v>underfunded</v>
      </c>
    </row>
    <row r="3969" spans="1:22" ht="48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8314</v>
      </c>
      <c r="R3969" t="s">
        <v>8315</v>
      </c>
      <c r="S3969" s="14">
        <f t="shared" si="368"/>
        <v>42770.290590277778</v>
      </c>
      <c r="T3969" s="14">
        <f t="shared" si="369"/>
        <v>42800.290590277778</v>
      </c>
      <c r="U3969" s="64">
        <f t="shared" si="370"/>
        <v>30</v>
      </c>
      <c r="V3969" s="13" t="str">
        <f t="shared" si="371"/>
        <v>underfunded</v>
      </c>
    </row>
    <row r="3970" spans="1:22" ht="48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11</v>
      </c>
      <c r="P3970">
        <f t="shared" si="367"/>
        <v>47.91</v>
      </c>
      <c r="Q3970" s="10" t="s">
        <v>8314</v>
      </c>
      <c r="R3970" t="s">
        <v>8315</v>
      </c>
      <c r="S3970" s="14">
        <f t="shared" si="368"/>
        <v>42452.815659722226</v>
      </c>
      <c r="T3970" s="14">
        <f t="shared" si="369"/>
        <v>42512.815659722226</v>
      </c>
      <c r="U3970" s="64">
        <f t="shared" si="370"/>
        <v>60</v>
      </c>
      <c r="V3970" s="13" t="str">
        <f t="shared" si="371"/>
        <v>underfunded</v>
      </c>
    </row>
    <row r="3971" spans="1:22" ht="48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>ROUND(E3971/D3971*100,0)</f>
        <v>7</v>
      </c>
      <c r="P3971">
        <f t="shared" ref="P3971:P4034" si="373">IFERROR(ROUND(E3971/L3971,2), 0)</f>
        <v>35.17</v>
      </c>
      <c r="Q3971" s="10" t="s">
        <v>8314</v>
      </c>
      <c r="R3971" t="s">
        <v>8315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 s="64">
        <f t="shared" ref="U3971:V4034" si="376">T3971-S3971</f>
        <v>9.3084953703728388</v>
      </c>
      <c r="V3971" s="13" t="str">
        <f t="shared" ref="V3971:V4034" si="377">IF(E3971&gt;=D3971, "funded", "underfunded")</f>
        <v>underfunded</v>
      </c>
    </row>
    <row r="3972" spans="1:22" ht="6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0" t="s">
        <v>8314</v>
      </c>
      <c r="R3972" t="s">
        <v>8315</v>
      </c>
      <c r="S3972" s="14">
        <f t="shared" si="374"/>
        <v>42447.863553240735</v>
      </c>
      <c r="T3972" s="14">
        <f t="shared" si="375"/>
        <v>42477.863553240735</v>
      </c>
      <c r="U3972" s="64">
        <f t="shared" si="376"/>
        <v>30</v>
      </c>
      <c r="V3972" s="13" t="str">
        <f t="shared" si="377"/>
        <v>underfunded</v>
      </c>
    </row>
    <row r="3973" spans="1:22" ht="48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8314</v>
      </c>
      <c r="R3973" t="s">
        <v>8315</v>
      </c>
      <c r="S3973" s="14">
        <f t="shared" si="374"/>
        <v>41811.536180555559</v>
      </c>
      <c r="T3973" s="14">
        <f t="shared" si="375"/>
        <v>41841.536180555559</v>
      </c>
      <c r="U3973" s="64">
        <f t="shared" si="376"/>
        <v>30</v>
      </c>
      <c r="V3973" s="13" t="str">
        <f t="shared" si="377"/>
        <v>underfunded</v>
      </c>
    </row>
    <row r="3974" spans="1:22" ht="3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8314</v>
      </c>
      <c r="R3974" t="s">
        <v>8315</v>
      </c>
      <c r="S3974" s="14">
        <f t="shared" si="374"/>
        <v>41981.067523148144</v>
      </c>
      <c r="T3974" s="14">
        <f t="shared" si="375"/>
        <v>42041.067523148144</v>
      </c>
      <c r="U3974" s="64">
        <f t="shared" si="376"/>
        <v>60</v>
      </c>
      <c r="V3974" s="13" t="str">
        <f t="shared" si="377"/>
        <v>underfunded</v>
      </c>
    </row>
    <row r="3975" spans="1:22" ht="48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8314</v>
      </c>
      <c r="R3975" t="s">
        <v>8315</v>
      </c>
      <c r="S3975" s="14">
        <f t="shared" si="374"/>
        <v>42469.68414351852</v>
      </c>
      <c r="T3975" s="14">
        <f t="shared" si="375"/>
        <v>42499.166666666672</v>
      </c>
      <c r="U3975" s="64">
        <f t="shared" si="376"/>
        <v>29.482523148151813</v>
      </c>
      <c r="V3975" s="13" t="str">
        <f t="shared" si="377"/>
        <v>underfunded</v>
      </c>
    </row>
    <row r="3976" spans="1:22" ht="48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8314</v>
      </c>
      <c r="R3976" t="s">
        <v>8315</v>
      </c>
      <c r="S3976" s="14">
        <f t="shared" si="374"/>
        <v>42493.546851851846</v>
      </c>
      <c r="T3976" s="14">
        <f t="shared" si="375"/>
        <v>42523.546851851846</v>
      </c>
      <c r="U3976" s="64">
        <f t="shared" si="376"/>
        <v>30</v>
      </c>
      <c r="V3976" s="13" t="str">
        <f t="shared" si="377"/>
        <v>underfunded</v>
      </c>
    </row>
    <row r="3977" spans="1:22" ht="48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0" t="s">
        <v>8314</v>
      </c>
      <c r="R3977" t="s">
        <v>8315</v>
      </c>
      <c r="S3977" s="14">
        <f t="shared" si="374"/>
        <v>42534.866875</v>
      </c>
      <c r="T3977" s="14">
        <f t="shared" si="375"/>
        <v>42564.866875</v>
      </c>
      <c r="U3977" s="64">
        <f t="shared" si="376"/>
        <v>30</v>
      </c>
      <c r="V3977" s="13" t="str">
        <f t="shared" si="377"/>
        <v>underfunded</v>
      </c>
    </row>
    <row r="3978" spans="1:22" ht="48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8314</v>
      </c>
      <c r="R3978" t="s">
        <v>8315</v>
      </c>
      <c r="S3978" s="14">
        <f t="shared" si="374"/>
        <v>41830.858344907407</v>
      </c>
      <c r="T3978" s="14">
        <f t="shared" si="375"/>
        <v>41852.291666666664</v>
      </c>
      <c r="U3978" s="64">
        <f t="shared" si="376"/>
        <v>21.433321759257524</v>
      </c>
      <c r="V3978" s="13" t="str">
        <f t="shared" si="377"/>
        <v>underfunded</v>
      </c>
    </row>
    <row r="3979" spans="1:22" ht="48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8314</v>
      </c>
      <c r="R3979" t="s">
        <v>8315</v>
      </c>
      <c r="S3979" s="14">
        <f t="shared" si="374"/>
        <v>42543.788564814815</v>
      </c>
      <c r="T3979" s="14">
        <f t="shared" si="375"/>
        <v>42573.788564814815</v>
      </c>
      <c r="U3979" s="64">
        <f t="shared" si="376"/>
        <v>30</v>
      </c>
      <c r="V3979" s="13" t="str">
        <f t="shared" si="377"/>
        <v>underfunded</v>
      </c>
    </row>
    <row r="3980" spans="1:22" ht="48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8314</v>
      </c>
      <c r="R3980" t="s">
        <v>8315</v>
      </c>
      <c r="S3980" s="14">
        <f t="shared" si="374"/>
        <v>41975.642974537041</v>
      </c>
      <c r="T3980" s="14">
        <f t="shared" si="375"/>
        <v>42035.642974537041</v>
      </c>
      <c r="U3980" s="64">
        <f t="shared" si="376"/>
        <v>60</v>
      </c>
      <c r="V3980" s="13" t="str">
        <f t="shared" si="377"/>
        <v>underfunded</v>
      </c>
    </row>
    <row r="3981" spans="1:22" ht="48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8314</v>
      </c>
      <c r="R3981" t="s">
        <v>8315</v>
      </c>
      <c r="S3981" s="14">
        <f t="shared" si="374"/>
        <v>42069.903437500005</v>
      </c>
      <c r="T3981" s="14">
        <f t="shared" si="375"/>
        <v>42092.833333333328</v>
      </c>
      <c r="U3981" s="64">
        <f t="shared" si="376"/>
        <v>22.929895833323826</v>
      </c>
      <c r="V3981" s="13" t="str">
        <f t="shared" si="377"/>
        <v>underfunded</v>
      </c>
    </row>
    <row r="3982" spans="1:22" ht="48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8314</v>
      </c>
      <c r="R3982" t="s">
        <v>8315</v>
      </c>
      <c r="S3982" s="14">
        <f t="shared" si="374"/>
        <v>41795.598923611113</v>
      </c>
      <c r="T3982" s="14">
        <f t="shared" si="375"/>
        <v>41825.598923611113</v>
      </c>
      <c r="U3982" s="64">
        <f t="shared" si="376"/>
        <v>30</v>
      </c>
      <c r="V3982" s="13" t="str">
        <f t="shared" si="377"/>
        <v>underfunded</v>
      </c>
    </row>
    <row r="3983" spans="1:22" ht="3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8314</v>
      </c>
      <c r="R3983" t="s">
        <v>8315</v>
      </c>
      <c r="S3983" s="14">
        <f t="shared" si="374"/>
        <v>42508.179965277777</v>
      </c>
      <c r="T3983" s="14">
        <f t="shared" si="375"/>
        <v>42568.179965277777</v>
      </c>
      <c r="U3983" s="64">
        <f t="shared" si="376"/>
        <v>60</v>
      </c>
      <c r="V3983" s="13" t="str">
        <f t="shared" si="377"/>
        <v>underfunded</v>
      </c>
    </row>
    <row r="3984" spans="1:22" ht="6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8314</v>
      </c>
      <c r="R3984" t="s">
        <v>8315</v>
      </c>
      <c r="S3984" s="14">
        <f t="shared" si="374"/>
        <v>42132.809953703705</v>
      </c>
      <c r="T3984" s="14">
        <f t="shared" si="375"/>
        <v>42192.809953703705</v>
      </c>
      <c r="U3984" s="64">
        <f t="shared" si="376"/>
        <v>60</v>
      </c>
      <c r="V3984" s="13" t="str">
        <f t="shared" si="377"/>
        <v>underfunded</v>
      </c>
    </row>
    <row r="3985" spans="1:22" ht="48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8314</v>
      </c>
      <c r="R3985" t="s">
        <v>8315</v>
      </c>
      <c r="S3985" s="14">
        <f t="shared" si="374"/>
        <v>41747.86986111111</v>
      </c>
      <c r="T3985" s="14">
        <f t="shared" si="375"/>
        <v>41779.290972222225</v>
      </c>
      <c r="U3985" s="64">
        <f t="shared" si="376"/>
        <v>31.421111111114442</v>
      </c>
      <c r="V3985" s="13" t="str">
        <f t="shared" si="377"/>
        <v>underfunded</v>
      </c>
    </row>
    <row r="3986" spans="1:22" ht="48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8314</v>
      </c>
      <c r="R3986" t="s">
        <v>8315</v>
      </c>
      <c r="S3986" s="14">
        <f t="shared" si="374"/>
        <v>41920.963472222218</v>
      </c>
      <c r="T3986" s="14">
        <f t="shared" si="375"/>
        <v>41951</v>
      </c>
      <c r="U3986" s="64">
        <f t="shared" si="376"/>
        <v>30.036527777781885</v>
      </c>
      <c r="V3986" s="13" t="str">
        <f t="shared" si="377"/>
        <v>underfunded</v>
      </c>
    </row>
    <row r="3987" spans="1:22" ht="48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8314</v>
      </c>
      <c r="R3987" t="s">
        <v>8315</v>
      </c>
      <c r="S3987" s="14">
        <f t="shared" si="374"/>
        <v>42399.707407407404</v>
      </c>
      <c r="T3987" s="14">
        <f t="shared" si="375"/>
        <v>42420.878472222219</v>
      </c>
      <c r="U3987" s="64">
        <f t="shared" si="376"/>
        <v>21.171064814814599</v>
      </c>
      <c r="V3987" s="13" t="str">
        <f t="shared" si="377"/>
        <v>underfunded</v>
      </c>
    </row>
    <row r="3988" spans="1:22" ht="48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8314</v>
      </c>
      <c r="R3988" t="s">
        <v>8315</v>
      </c>
      <c r="S3988" s="14">
        <f t="shared" si="374"/>
        <v>42467.548541666663</v>
      </c>
      <c r="T3988" s="14">
        <f t="shared" si="375"/>
        <v>42496.544444444444</v>
      </c>
      <c r="U3988" s="64">
        <f t="shared" si="376"/>
        <v>28.995902777780429</v>
      </c>
      <c r="V3988" s="13" t="str">
        <f t="shared" si="377"/>
        <v>underfunded</v>
      </c>
    </row>
    <row r="3989" spans="1:22" ht="48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8314</v>
      </c>
      <c r="R3989" t="s">
        <v>8315</v>
      </c>
      <c r="S3989" s="14">
        <f t="shared" si="374"/>
        <v>41765.92465277778</v>
      </c>
      <c r="T3989" s="14">
        <f t="shared" si="375"/>
        <v>41775.92465277778</v>
      </c>
      <c r="U3989" s="64">
        <f t="shared" si="376"/>
        <v>10</v>
      </c>
      <c r="V3989" s="13" t="str">
        <f t="shared" si="377"/>
        <v>underfunded</v>
      </c>
    </row>
    <row r="3990" spans="1:22" ht="3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8314</v>
      </c>
      <c r="R3990" t="s">
        <v>8315</v>
      </c>
      <c r="S3990" s="14">
        <f t="shared" si="374"/>
        <v>42230.08116898148</v>
      </c>
      <c r="T3990" s="14">
        <f t="shared" si="375"/>
        <v>42245.08116898148</v>
      </c>
      <c r="U3990" s="64">
        <f t="shared" si="376"/>
        <v>15</v>
      </c>
      <c r="V3990" s="13" t="str">
        <f t="shared" si="377"/>
        <v>underfunded</v>
      </c>
    </row>
    <row r="3991" spans="1:22" ht="48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0" t="s">
        <v>8314</v>
      </c>
      <c r="R3991" t="s">
        <v>8315</v>
      </c>
      <c r="S3991" s="14">
        <f t="shared" si="374"/>
        <v>42286.749780092592</v>
      </c>
      <c r="T3991" s="14">
        <f t="shared" si="375"/>
        <v>42316.791446759264</v>
      </c>
      <c r="U3991" s="64">
        <f t="shared" si="376"/>
        <v>30.041666666671517</v>
      </c>
      <c r="V3991" s="13" t="str">
        <f t="shared" si="377"/>
        <v>underfunded</v>
      </c>
    </row>
    <row r="3992" spans="1:22" ht="48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8314</v>
      </c>
      <c r="R3992" t="s">
        <v>8315</v>
      </c>
      <c r="S3992" s="14">
        <f t="shared" si="374"/>
        <v>42401.672372685185</v>
      </c>
      <c r="T3992" s="14">
        <f t="shared" si="375"/>
        <v>42431.672372685185</v>
      </c>
      <c r="U3992" s="64">
        <f t="shared" si="376"/>
        <v>30</v>
      </c>
      <c r="V3992" s="13" t="str">
        <f t="shared" si="377"/>
        <v>underfunded</v>
      </c>
    </row>
    <row r="3993" spans="1:22" ht="3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8314</v>
      </c>
      <c r="R3993" t="s">
        <v>8315</v>
      </c>
      <c r="S3993" s="14">
        <f t="shared" si="374"/>
        <v>42125.644467592589</v>
      </c>
      <c r="T3993" s="14">
        <f t="shared" si="375"/>
        <v>42155.644467592589</v>
      </c>
      <c r="U3993" s="64">
        <f t="shared" si="376"/>
        <v>30</v>
      </c>
      <c r="V3993" s="13" t="str">
        <f t="shared" si="377"/>
        <v>underfunded</v>
      </c>
    </row>
    <row r="3994" spans="1:22" ht="48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8314</v>
      </c>
      <c r="R3994" t="s">
        <v>8315</v>
      </c>
      <c r="S3994" s="14">
        <f t="shared" si="374"/>
        <v>42289.94049768518</v>
      </c>
      <c r="T3994" s="14">
        <f t="shared" si="375"/>
        <v>42349.982164351852</v>
      </c>
      <c r="U3994" s="64">
        <f t="shared" si="376"/>
        <v>60.041666666671517</v>
      </c>
      <c r="V3994" s="13" t="str">
        <f t="shared" si="377"/>
        <v>underfunded</v>
      </c>
    </row>
    <row r="3995" spans="1:22" ht="48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0" t="s">
        <v>8314</v>
      </c>
      <c r="R3995" t="s">
        <v>8315</v>
      </c>
      <c r="S3995" s="14">
        <f t="shared" si="374"/>
        <v>42107.864722222221</v>
      </c>
      <c r="T3995" s="14">
        <f t="shared" si="375"/>
        <v>42137.864722222221</v>
      </c>
      <c r="U3995" s="64">
        <f t="shared" si="376"/>
        <v>30</v>
      </c>
      <c r="V3995" s="13" t="str">
        <f t="shared" si="377"/>
        <v>underfunded</v>
      </c>
    </row>
    <row r="3996" spans="1:22" ht="3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0" t="s">
        <v>8314</v>
      </c>
      <c r="R3996" t="s">
        <v>8315</v>
      </c>
      <c r="S3996" s="14">
        <f t="shared" si="374"/>
        <v>41809.389930555553</v>
      </c>
      <c r="T3996" s="14">
        <f t="shared" si="375"/>
        <v>41839.389930555553</v>
      </c>
      <c r="U3996" s="64">
        <f t="shared" si="376"/>
        <v>30</v>
      </c>
      <c r="V3996" s="13" t="str">
        <f t="shared" si="377"/>
        <v>underfunded</v>
      </c>
    </row>
    <row r="3997" spans="1:22" ht="48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8314</v>
      </c>
      <c r="R3997" t="s">
        <v>8315</v>
      </c>
      <c r="S3997" s="14">
        <f t="shared" si="374"/>
        <v>42019.683761574073</v>
      </c>
      <c r="T3997" s="14">
        <f t="shared" si="375"/>
        <v>42049.477083333331</v>
      </c>
      <c r="U3997" s="64">
        <f t="shared" si="376"/>
        <v>29.793321759258106</v>
      </c>
      <c r="V3997" s="13" t="str">
        <f t="shared" si="377"/>
        <v>underfunded</v>
      </c>
    </row>
    <row r="3998" spans="1:22" ht="48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8314</v>
      </c>
      <c r="R3998" t="s">
        <v>8315</v>
      </c>
      <c r="S3998" s="14">
        <f t="shared" si="374"/>
        <v>41950.26694444444</v>
      </c>
      <c r="T3998" s="14">
        <f t="shared" si="375"/>
        <v>41963.669444444444</v>
      </c>
      <c r="U3998" s="64">
        <f t="shared" si="376"/>
        <v>13.402500000003783</v>
      </c>
      <c r="V3998" s="13" t="str">
        <f t="shared" si="377"/>
        <v>underfunded</v>
      </c>
    </row>
    <row r="3999" spans="1:22" ht="48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0" t="s">
        <v>8314</v>
      </c>
      <c r="R3999" t="s">
        <v>8315</v>
      </c>
      <c r="S3999" s="14">
        <f t="shared" si="374"/>
        <v>42069.391446759255</v>
      </c>
      <c r="T3999" s="14">
        <f t="shared" si="375"/>
        <v>42099.349780092598</v>
      </c>
      <c r="U3999" s="64">
        <f t="shared" si="376"/>
        <v>29.958333333343035</v>
      </c>
      <c r="V3999" s="13" t="str">
        <f t="shared" si="377"/>
        <v>underfunded</v>
      </c>
    </row>
    <row r="4000" spans="1:22" ht="48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8314</v>
      </c>
      <c r="R4000" t="s">
        <v>8315</v>
      </c>
      <c r="S4000" s="14">
        <f t="shared" si="374"/>
        <v>42061.963263888887</v>
      </c>
      <c r="T4000" s="14">
        <f t="shared" si="375"/>
        <v>42091.921597222223</v>
      </c>
      <c r="U4000" s="64">
        <f t="shared" si="376"/>
        <v>29.958333333335759</v>
      </c>
      <c r="V4000" s="13" t="str">
        <f t="shared" si="377"/>
        <v>underfunded</v>
      </c>
    </row>
    <row r="4001" spans="1:22" ht="48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8314</v>
      </c>
      <c r="R4001" t="s">
        <v>8315</v>
      </c>
      <c r="S4001" s="14">
        <f t="shared" si="374"/>
        <v>41842.828680555554</v>
      </c>
      <c r="T4001" s="14">
        <f t="shared" si="375"/>
        <v>41882.827650462961</v>
      </c>
      <c r="U4001" s="64">
        <f t="shared" si="376"/>
        <v>39.998969907406718</v>
      </c>
      <c r="V4001" s="13" t="str">
        <f t="shared" si="377"/>
        <v>underfunded</v>
      </c>
    </row>
    <row r="4002" spans="1:22" ht="16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0" t="s">
        <v>8314</v>
      </c>
      <c r="R4002" t="s">
        <v>8315</v>
      </c>
      <c r="S4002" s="14">
        <f t="shared" si="374"/>
        <v>42437.64534722222</v>
      </c>
      <c r="T4002" s="14">
        <f t="shared" si="375"/>
        <v>42497.603680555556</v>
      </c>
      <c r="U4002" s="64">
        <f t="shared" si="376"/>
        <v>59.958333333335759</v>
      </c>
      <c r="V4002" s="13" t="str">
        <f t="shared" si="377"/>
        <v>underfunded</v>
      </c>
    </row>
    <row r="4003" spans="1:22" ht="48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8314</v>
      </c>
      <c r="R4003" t="s">
        <v>8315</v>
      </c>
      <c r="S4003" s="14">
        <f t="shared" si="374"/>
        <v>42775.964212962965</v>
      </c>
      <c r="T4003" s="14">
        <f t="shared" si="375"/>
        <v>42795.791666666672</v>
      </c>
      <c r="U4003" s="64">
        <f t="shared" si="376"/>
        <v>19.827453703706851</v>
      </c>
      <c r="V4003" s="13" t="str">
        <f t="shared" si="377"/>
        <v>underfunded</v>
      </c>
    </row>
    <row r="4004" spans="1:22" ht="48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8314</v>
      </c>
      <c r="R4004" t="s">
        <v>8315</v>
      </c>
      <c r="S4004" s="14">
        <f t="shared" si="374"/>
        <v>41879.043530092589</v>
      </c>
      <c r="T4004" s="14">
        <f t="shared" si="375"/>
        <v>41909.043530092589</v>
      </c>
      <c r="U4004" s="64">
        <f t="shared" si="376"/>
        <v>30</v>
      </c>
      <c r="V4004" s="13" t="str">
        <f t="shared" si="377"/>
        <v>underfunded</v>
      </c>
    </row>
    <row r="4005" spans="1:22" ht="48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8314</v>
      </c>
      <c r="R4005" t="s">
        <v>8315</v>
      </c>
      <c r="S4005" s="14">
        <f t="shared" si="374"/>
        <v>42020.587349537032</v>
      </c>
      <c r="T4005" s="14">
        <f t="shared" si="375"/>
        <v>42050.587349537032</v>
      </c>
      <c r="U4005" s="64">
        <f t="shared" si="376"/>
        <v>30</v>
      </c>
      <c r="V4005" s="13" t="str">
        <f t="shared" si="377"/>
        <v>underfunded</v>
      </c>
    </row>
    <row r="4006" spans="1:22" ht="16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0" t="s">
        <v>8314</v>
      </c>
      <c r="R4006" t="s">
        <v>8315</v>
      </c>
      <c r="S4006" s="14">
        <f t="shared" si="374"/>
        <v>41890.16269675926</v>
      </c>
      <c r="T4006" s="14">
        <f t="shared" si="375"/>
        <v>41920.16269675926</v>
      </c>
      <c r="U4006" s="64">
        <f t="shared" si="376"/>
        <v>30</v>
      </c>
      <c r="V4006" s="13" t="str">
        <f t="shared" si="377"/>
        <v>underfunded</v>
      </c>
    </row>
    <row r="4007" spans="1:22" ht="48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8314</v>
      </c>
      <c r="R4007" t="s">
        <v>8315</v>
      </c>
      <c r="S4007" s="14">
        <f t="shared" si="374"/>
        <v>41872.807696759257</v>
      </c>
      <c r="T4007" s="14">
        <f t="shared" si="375"/>
        <v>41932.807696759257</v>
      </c>
      <c r="U4007" s="64">
        <f t="shared" si="376"/>
        <v>60</v>
      </c>
      <c r="V4007" s="13" t="str">
        <f t="shared" si="377"/>
        <v>underfunded</v>
      </c>
    </row>
    <row r="4008" spans="1:22" ht="48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0" t="s">
        <v>8314</v>
      </c>
      <c r="R4008" t="s">
        <v>8315</v>
      </c>
      <c r="S4008" s="14">
        <f t="shared" si="374"/>
        <v>42391.772997685184</v>
      </c>
      <c r="T4008" s="14">
        <f t="shared" si="375"/>
        <v>42416.772997685184</v>
      </c>
      <c r="U4008" s="64">
        <f t="shared" si="376"/>
        <v>25</v>
      </c>
      <c r="V4008" s="13" t="str">
        <f t="shared" si="377"/>
        <v>underfunded</v>
      </c>
    </row>
    <row r="4009" spans="1:22" ht="48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0" t="s">
        <v>8314</v>
      </c>
      <c r="R4009" t="s">
        <v>8315</v>
      </c>
      <c r="S4009" s="14">
        <f t="shared" si="374"/>
        <v>41848.772928240738</v>
      </c>
      <c r="T4009" s="14">
        <f t="shared" si="375"/>
        <v>41877.686111111114</v>
      </c>
      <c r="U4009" s="64">
        <f t="shared" si="376"/>
        <v>28.913182870375749</v>
      </c>
      <c r="V4009" s="13" t="str">
        <f t="shared" si="377"/>
        <v>underfunded</v>
      </c>
    </row>
    <row r="4010" spans="1:22" ht="48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8314</v>
      </c>
      <c r="R4010" t="s">
        <v>8315</v>
      </c>
      <c r="S4010" s="14">
        <f t="shared" si="374"/>
        <v>42177.964201388888</v>
      </c>
      <c r="T4010" s="14">
        <f t="shared" si="375"/>
        <v>42207.964201388888</v>
      </c>
      <c r="U4010" s="64">
        <f t="shared" si="376"/>
        <v>30</v>
      </c>
      <c r="V4010" s="13" t="str">
        <f t="shared" si="377"/>
        <v>underfunded</v>
      </c>
    </row>
    <row r="4011" spans="1:22" ht="48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8314</v>
      </c>
      <c r="R4011" t="s">
        <v>8315</v>
      </c>
      <c r="S4011" s="14">
        <f t="shared" si="374"/>
        <v>41851.700925925928</v>
      </c>
      <c r="T4011" s="14">
        <f t="shared" si="375"/>
        <v>41891.700925925928</v>
      </c>
      <c r="U4011" s="64">
        <f t="shared" si="376"/>
        <v>40</v>
      </c>
      <c r="V4011" s="13" t="str">
        <f t="shared" si="377"/>
        <v>underfunded</v>
      </c>
    </row>
    <row r="4012" spans="1:22" ht="48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8314</v>
      </c>
      <c r="R4012" t="s">
        <v>8315</v>
      </c>
      <c r="S4012" s="14">
        <f t="shared" si="374"/>
        <v>41921.770439814813</v>
      </c>
      <c r="T4012" s="14">
        <f t="shared" si="375"/>
        <v>41938.770439814813</v>
      </c>
      <c r="U4012" s="64">
        <f t="shared" si="376"/>
        <v>17</v>
      </c>
      <c r="V4012" s="13" t="str">
        <f t="shared" si="377"/>
        <v>underfunded</v>
      </c>
    </row>
    <row r="4013" spans="1:22" ht="48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8314</v>
      </c>
      <c r="R4013" t="s">
        <v>8315</v>
      </c>
      <c r="S4013" s="14">
        <f t="shared" si="374"/>
        <v>42002.54488425926</v>
      </c>
      <c r="T4013" s="14">
        <f t="shared" si="375"/>
        <v>42032.54488425926</v>
      </c>
      <c r="U4013" s="64">
        <f t="shared" si="376"/>
        <v>30</v>
      </c>
      <c r="V4013" s="13" t="str">
        <f t="shared" si="377"/>
        <v>underfunded</v>
      </c>
    </row>
    <row r="4014" spans="1:22" ht="48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0" t="s">
        <v>8314</v>
      </c>
      <c r="R4014" t="s">
        <v>8315</v>
      </c>
      <c r="S4014" s="14">
        <f t="shared" si="374"/>
        <v>42096.544548611113</v>
      </c>
      <c r="T4014" s="14">
        <f t="shared" si="375"/>
        <v>42126.544548611113</v>
      </c>
      <c r="U4014" s="64">
        <f t="shared" si="376"/>
        <v>30</v>
      </c>
      <c r="V4014" s="13" t="str">
        <f t="shared" si="377"/>
        <v>underfunded</v>
      </c>
    </row>
    <row r="4015" spans="1:22" ht="48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8314</v>
      </c>
      <c r="R4015" t="s">
        <v>8315</v>
      </c>
      <c r="S4015" s="14">
        <f t="shared" si="374"/>
        <v>42021.301192129627</v>
      </c>
      <c r="T4015" s="14">
        <f t="shared" si="375"/>
        <v>42051.301192129627</v>
      </c>
      <c r="U4015" s="64">
        <f t="shared" si="376"/>
        <v>30</v>
      </c>
      <c r="V4015" s="13" t="str">
        <f t="shared" si="377"/>
        <v>underfunded</v>
      </c>
    </row>
    <row r="4016" spans="1:22" ht="48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0" t="s">
        <v>8314</v>
      </c>
      <c r="R4016" t="s">
        <v>8315</v>
      </c>
      <c r="S4016" s="14">
        <f t="shared" si="374"/>
        <v>42419.246168981481</v>
      </c>
      <c r="T4016" s="14">
        <f t="shared" si="375"/>
        <v>42434.246168981481</v>
      </c>
      <c r="U4016" s="64">
        <f t="shared" si="376"/>
        <v>15</v>
      </c>
      <c r="V4016" s="13" t="str">
        <f t="shared" si="377"/>
        <v>underfunded</v>
      </c>
    </row>
    <row r="4017" spans="1:22" ht="48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0" t="s">
        <v>8314</v>
      </c>
      <c r="R4017" t="s">
        <v>8315</v>
      </c>
      <c r="S4017" s="14">
        <f t="shared" si="374"/>
        <v>42174.780821759254</v>
      </c>
      <c r="T4017" s="14">
        <f t="shared" si="375"/>
        <v>42204.780821759254</v>
      </c>
      <c r="U4017" s="64">
        <f t="shared" si="376"/>
        <v>30</v>
      </c>
      <c r="V4017" s="13" t="str">
        <f t="shared" si="377"/>
        <v>underfunded</v>
      </c>
    </row>
    <row r="4018" spans="1:22" ht="48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8314</v>
      </c>
      <c r="R4018" t="s">
        <v>8315</v>
      </c>
      <c r="S4018" s="14">
        <f t="shared" si="374"/>
        <v>41869.872685185182</v>
      </c>
      <c r="T4018" s="14">
        <f t="shared" si="375"/>
        <v>41899.872685185182</v>
      </c>
      <c r="U4018" s="64">
        <f t="shared" si="376"/>
        <v>30</v>
      </c>
      <c r="V4018" s="13" t="str">
        <f t="shared" si="377"/>
        <v>underfunded</v>
      </c>
    </row>
    <row r="4019" spans="1:22" ht="48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8314</v>
      </c>
      <c r="R4019" t="s">
        <v>8315</v>
      </c>
      <c r="S4019" s="14">
        <f t="shared" si="374"/>
        <v>41856.672152777777</v>
      </c>
      <c r="T4019" s="14">
        <f t="shared" si="375"/>
        <v>41886.672152777777</v>
      </c>
      <c r="U4019" s="64">
        <f t="shared" si="376"/>
        <v>30</v>
      </c>
      <c r="V4019" s="13" t="str">
        <f t="shared" si="377"/>
        <v>underfunded</v>
      </c>
    </row>
    <row r="4020" spans="1:22" ht="3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8314</v>
      </c>
      <c r="R4020" t="s">
        <v>8315</v>
      </c>
      <c r="S4020" s="14">
        <f t="shared" si="374"/>
        <v>42620.91097222222</v>
      </c>
      <c r="T4020" s="14">
        <f t="shared" si="375"/>
        <v>42650.91097222222</v>
      </c>
      <c r="U4020" s="64">
        <f t="shared" si="376"/>
        <v>30</v>
      </c>
      <c r="V4020" s="13" t="str">
        <f t="shared" si="377"/>
        <v>underfunded</v>
      </c>
    </row>
    <row r="4021" spans="1:22" ht="48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8314</v>
      </c>
      <c r="R4021" t="s">
        <v>8315</v>
      </c>
      <c r="S4021" s="14">
        <f t="shared" si="374"/>
        <v>42417.675879629634</v>
      </c>
      <c r="T4021" s="14">
        <f t="shared" si="375"/>
        <v>42475.686111111107</v>
      </c>
      <c r="U4021" s="64">
        <f t="shared" si="376"/>
        <v>58.010231481472147</v>
      </c>
      <c r="V4021" s="13" t="str">
        <f t="shared" si="377"/>
        <v>underfunded</v>
      </c>
    </row>
    <row r="4022" spans="1:22" ht="48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8314</v>
      </c>
      <c r="R4022" t="s">
        <v>8315</v>
      </c>
      <c r="S4022" s="14">
        <f t="shared" si="374"/>
        <v>42057.190960648149</v>
      </c>
      <c r="T4022" s="14">
        <f t="shared" si="375"/>
        <v>42087.149293981478</v>
      </c>
      <c r="U4022" s="64">
        <f t="shared" si="376"/>
        <v>29.958333333328483</v>
      </c>
      <c r="V4022" s="13" t="str">
        <f t="shared" si="377"/>
        <v>underfunded</v>
      </c>
    </row>
    <row r="4023" spans="1:22" ht="48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8314</v>
      </c>
      <c r="R4023" t="s">
        <v>8315</v>
      </c>
      <c r="S4023" s="14">
        <f t="shared" si="374"/>
        <v>41878.911550925928</v>
      </c>
      <c r="T4023" s="14">
        <f t="shared" si="375"/>
        <v>41938.911550925928</v>
      </c>
      <c r="U4023" s="64">
        <f t="shared" si="376"/>
        <v>60</v>
      </c>
      <c r="V4023" s="13" t="str">
        <f t="shared" si="377"/>
        <v>underfunded</v>
      </c>
    </row>
    <row r="4024" spans="1:22" ht="3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8314</v>
      </c>
      <c r="R4024" t="s">
        <v>8315</v>
      </c>
      <c r="S4024" s="14">
        <f t="shared" si="374"/>
        <v>41990.584108796291</v>
      </c>
      <c r="T4024" s="14">
        <f t="shared" si="375"/>
        <v>42036.120833333334</v>
      </c>
      <c r="U4024" s="64">
        <f t="shared" si="376"/>
        <v>45.536724537043483</v>
      </c>
      <c r="V4024" s="13" t="str">
        <f t="shared" si="377"/>
        <v>underfunded</v>
      </c>
    </row>
    <row r="4025" spans="1:22" ht="48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8314</v>
      </c>
      <c r="R4025" t="s">
        <v>8315</v>
      </c>
      <c r="S4025" s="14">
        <f t="shared" si="374"/>
        <v>42408.999571759254</v>
      </c>
      <c r="T4025" s="14">
        <f t="shared" si="375"/>
        <v>42453.957905092597</v>
      </c>
      <c r="U4025" s="64">
        <f t="shared" si="376"/>
        <v>44.958333333343035</v>
      </c>
      <c r="V4025" s="13" t="str">
        <f t="shared" si="377"/>
        <v>underfunded</v>
      </c>
    </row>
    <row r="4026" spans="1:22" ht="48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8314</v>
      </c>
      <c r="R4026" t="s">
        <v>8315</v>
      </c>
      <c r="S4026" s="14">
        <f t="shared" si="374"/>
        <v>42217.670104166667</v>
      </c>
      <c r="T4026" s="14">
        <f t="shared" si="375"/>
        <v>42247.670104166667</v>
      </c>
      <c r="U4026" s="64">
        <f t="shared" si="376"/>
        <v>30</v>
      </c>
      <c r="V4026" s="13" t="str">
        <f t="shared" si="377"/>
        <v>underfunded</v>
      </c>
    </row>
    <row r="4027" spans="1:22" ht="48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8314</v>
      </c>
      <c r="R4027" t="s">
        <v>8315</v>
      </c>
      <c r="S4027" s="14">
        <f t="shared" si="374"/>
        <v>42151.237685185188</v>
      </c>
      <c r="T4027" s="14">
        <f t="shared" si="375"/>
        <v>42211.237685185188</v>
      </c>
      <c r="U4027" s="64">
        <f t="shared" si="376"/>
        <v>60</v>
      </c>
      <c r="V4027" s="13" t="str">
        <f t="shared" si="377"/>
        <v>underfunded</v>
      </c>
    </row>
    <row r="4028" spans="1:22" ht="48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8314</v>
      </c>
      <c r="R4028" t="s">
        <v>8315</v>
      </c>
      <c r="S4028" s="14">
        <f t="shared" si="374"/>
        <v>42282.655543981484</v>
      </c>
      <c r="T4028" s="14">
        <f t="shared" si="375"/>
        <v>42342.697210648148</v>
      </c>
      <c r="U4028" s="64">
        <f t="shared" si="376"/>
        <v>60.041666666664241</v>
      </c>
      <c r="V4028" s="13" t="str">
        <f t="shared" si="377"/>
        <v>underfunded</v>
      </c>
    </row>
    <row r="4029" spans="1:22" ht="48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8314</v>
      </c>
      <c r="R4029" t="s">
        <v>8315</v>
      </c>
      <c r="S4029" s="14">
        <f t="shared" si="374"/>
        <v>42768.97084490741</v>
      </c>
      <c r="T4029" s="14">
        <f t="shared" si="375"/>
        <v>42789.041666666672</v>
      </c>
      <c r="U4029" s="64">
        <f t="shared" si="376"/>
        <v>20.070821759261889</v>
      </c>
      <c r="V4029" s="13" t="str">
        <f t="shared" si="377"/>
        <v>underfunded</v>
      </c>
    </row>
    <row r="4030" spans="1:22" ht="48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8314</v>
      </c>
      <c r="R4030" t="s">
        <v>8315</v>
      </c>
      <c r="S4030" s="14">
        <f t="shared" si="374"/>
        <v>41765.938657407409</v>
      </c>
      <c r="T4030" s="14">
        <f t="shared" si="375"/>
        <v>41795.938657407409</v>
      </c>
      <c r="U4030" s="64">
        <f t="shared" si="376"/>
        <v>30</v>
      </c>
      <c r="V4030" s="13" t="str">
        <f t="shared" si="377"/>
        <v>underfunded</v>
      </c>
    </row>
    <row r="4031" spans="1:22" ht="48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8314</v>
      </c>
      <c r="R4031" t="s">
        <v>8315</v>
      </c>
      <c r="S4031" s="14">
        <f t="shared" si="374"/>
        <v>42322.025115740747</v>
      </c>
      <c r="T4031" s="14">
        <f t="shared" si="375"/>
        <v>42352.025115740747</v>
      </c>
      <c r="U4031" s="64">
        <f t="shared" si="376"/>
        <v>30</v>
      </c>
      <c r="V4031" s="13" t="str">
        <f t="shared" si="377"/>
        <v>underfunded</v>
      </c>
    </row>
    <row r="4032" spans="1:22" ht="48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8314</v>
      </c>
      <c r="R4032" t="s">
        <v>8315</v>
      </c>
      <c r="S4032" s="14">
        <f t="shared" si="374"/>
        <v>42374.655081018514</v>
      </c>
      <c r="T4032" s="14">
        <f t="shared" si="375"/>
        <v>42403.784027777772</v>
      </c>
      <c r="U4032" s="64">
        <f t="shared" si="376"/>
        <v>29.128946759257815</v>
      </c>
      <c r="V4032" s="13" t="str">
        <f t="shared" si="377"/>
        <v>underfunded</v>
      </c>
    </row>
    <row r="4033" spans="1:22" ht="48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8314</v>
      </c>
      <c r="R4033" t="s">
        <v>8315</v>
      </c>
      <c r="S4033" s="14">
        <f t="shared" si="374"/>
        <v>41941.585231481484</v>
      </c>
      <c r="T4033" s="14">
        <f t="shared" si="375"/>
        <v>41991.626898148148</v>
      </c>
      <c r="U4033" s="64">
        <f t="shared" si="376"/>
        <v>50.041666666664241</v>
      </c>
      <c r="V4033" s="13" t="str">
        <f t="shared" si="377"/>
        <v>underfunded</v>
      </c>
    </row>
    <row r="4034" spans="1:22" ht="48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7</v>
      </c>
      <c r="P4034">
        <f t="shared" si="373"/>
        <v>59</v>
      </c>
      <c r="Q4034" s="10" t="s">
        <v>8314</v>
      </c>
      <c r="R4034" t="s">
        <v>8315</v>
      </c>
      <c r="S4034" s="14">
        <f t="shared" si="374"/>
        <v>42293.809212962966</v>
      </c>
      <c r="T4034" s="14">
        <f t="shared" si="375"/>
        <v>42353.85087962963</v>
      </c>
      <c r="U4034" s="64">
        <f t="shared" si="376"/>
        <v>60.041666666664241</v>
      </c>
      <c r="V4034" s="13" t="str">
        <f t="shared" si="377"/>
        <v>underfunded</v>
      </c>
    </row>
    <row r="4035" spans="1:22" ht="48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>ROUND(E4035/D4035*100,0)</f>
        <v>26</v>
      </c>
      <c r="P4035">
        <f t="shared" ref="P4035:P4098" si="379">IFERROR(ROUND(E4035/L4035,2), 0)</f>
        <v>65.34</v>
      </c>
      <c r="Q4035" s="10" t="s">
        <v>8314</v>
      </c>
      <c r="R4035" t="s">
        <v>8315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 s="64">
        <f t="shared" ref="U4035:V4098" si="382">T4035-S4035</f>
        <v>31.106203703704523</v>
      </c>
      <c r="V4035" s="13" t="str">
        <f t="shared" ref="V4035:V4098" si="383">IF(E4035&gt;=D4035, "funded", "underfunded")</f>
        <v>underfunded</v>
      </c>
    </row>
    <row r="4036" spans="1:22" ht="48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8314</v>
      </c>
      <c r="R4036" t="s">
        <v>8315</v>
      </c>
      <c r="S4036" s="14">
        <f t="shared" si="380"/>
        <v>42067.947337962964</v>
      </c>
      <c r="T4036" s="14">
        <f t="shared" si="381"/>
        <v>42097.905671296292</v>
      </c>
      <c r="U4036" s="64">
        <f t="shared" si="382"/>
        <v>29.958333333328483</v>
      </c>
      <c r="V4036" s="13" t="str">
        <f t="shared" si="383"/>
        <v>underfunded</v>
      </c>
    </row>
    <row r="4037" spans="1:22" ht="3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8314</v>
      </c>
      <c r="R4037" t="s">
        <v>8315</v>
      </c>
      <c r="S4037" s="14">
        <f t="shared" si="380"/>
        <v>41903.882951388885</v>
      </c>
      <c r="T4037" s="14">
        <f t="shared" si="381"/>
        <v>41933.882951388885</v>
      </c>
      <c r="U4037" s="64">
        <f t="shared" si="382"/>
        <v>30</v>
      </c>
      <c r="V4037" s="13" t="str">
        <f t="shared" si="383"/>
        <v>underfunded</v>
      </c>
    </row>
    <row r="4038" spans="1:22" ht="48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8314</v>
      </c>
      <c r="R4038" t="s">
        <v>8315</v>
      </c>
      <c r="S4038" s="14">
        <f t="shared" si="380"/>
        <v>41804.937083333331</v>
      </c>
      <c r="T4038" s="14">
        <f t="shared" si="381"/>
        <v>41821.9375</v>
      </c>
      <c r="U4038" s="64">
        <f t="shared" si="382"/>
        <v>17.00041666666948</v>
      </c>
      <c r="V4038" s="13" t="str">
        <f t="shared" si="383"/>
        <v>underfunded</v>
      </c>
    </row>
    <row r="4039" spans="1:22" ht="48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8314</v>
      </c>
      <c r="R4039" t="s">
        <v>8315</v>
      </c>
      <c r="S4039" s="14">
        <f t="shared" si="380"/>
        <v>42497.070775462969</v>
      </c>
      <c r="T4039" s="14">
        <f t="shared" si="381"/>
        <v>42514.600694444445</v>
      </c>
      <c r="U4039" s="64">
        <f t="shared" si="382"/>
        <v>17.52991898147593</v>
      </c>
      <c r="V4039" s="13" t="str">
        <f t="shared" si="383"/>
        <v>underfunded</v>
      </c>
    </row>
    <row r="4040" spans="1:22" ht="48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8314</v>
      </c>
      <c r="R4040" t="s">
        <v>8315</v>
      </c>
      <c r="S4040" s="14">
        <f t="shared" si="380"/>
        <v>41869.798726851855</v>
      </c>
      <c r="T4040" s="14">
        <f t="shared" si="381"/>
        <v>41929.798726851855</v>
      </c>
      <c r="U4040" s="64">
        <f t="shared" si="382"/>
        <v>60</v>
      </c>
      <c r="V4040" s="13" t="str">
        <f t="shared" si="383"/>
        <v>underfunded</v>
      </c>
    </row>
    <row r="4041" spans="1:22" ht="3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8314</v>
      </c>
      <c r="R4041" t="s">
        <v>8315</v>
      </c>
      <c r="S4041" s="14">
        <f t="shared" si="380"/>
        <v>42305.670914351853</v>
      </c>
      <c r="T4041" s="14">
        <f t="shared" si="381"/>
        <v>42339.249305555553</v>
      </c>
      <c r="U4041" s="64">
        <f t="shared" si="382"/>
        <v>33.578391203700448</v>
      </c>
      <c r="V4041" s="13" t="str">
        <f t="shared" si="383"/>
        <v>underfunded</v>
      </c>
    </row>
    <row r="4042" spans="1:22" ht="48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8314</v>
      </c>
      <c r="R4042" t="s">
        <v>8315</v>
      </c>
      <c r="S4042" s="14">
        <f t="shared" si="380"/>
        <v>42144.231527777782</v>
      </c>
      <c r="T4042" s="14">
        <f t="shared" si="381"/>
        <v>42203.125</v>
      </c>
      <c r="U4042" s="64">
        <f t="shared" si="382"/>
        <v>58.893472222218406</v>
      </c>
      <c r="V4042" s="13" t="str">
        <f t="shared" si="383"/>
        <v>underfunded</v>
      </c>
    </row>
    <row r="4043" spans="1:22" ht="3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0" t="s">
        <v>8314</v>
      </c>
      <c r="R4043" t="s">
        <v>8315</v>
      </c>
      <c r="S4043" s="14">
        <f t="shared" si="380"/>
        <v>42559.474004629628</v>
      </c>
      <c r="T4043" s="14">
        <f t="shared" si="381"/>
        <v>42619.474004629628</v>
      </c>
      <c r="U4043" s="64">
        <f t="shared" si="382"/>
        <v>60</v>
      </c>
      <c r="V4043" s="13" t="str">
        <f t="shared" si="383"/>
        <v>underfunded</v>
      </c>
    </row>
    <row r="4044" spans="1:22" ht="48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0" t="s">
        <v>8314</v>
      </c>
      <c r="R4044" t="s">
        <v>8315</v>
      </c>
      <c r="S4044" s="14">
        <f t="shared" si="380"/>
        <v>41995.084074074075</v>
      </c>
      <c r="T4044" s="14">
        <f t="shared" si="381"/>
        <v>42024.802777777775</v>
      </c>
      <c r="U4044" s="64">
        <f t="shared" si="382"/>
        <v>29.718703703700157</v>
      </c>
      <c r="V4044" s="13" t="str">
        <f t="shared" si="383"/>
        <v>underfunded</v>
      </c>
    </row>
    <row r="4045" spans="1:22" ht="48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0" t="s">
        <v>8314</v>
      </c>
      <c r="R4045" t="s">
        <v>8315</v>
      </c>
      <c r="S4045" s="14">
        <f t="shared" si="380"/>
        <v>41948.957465277781</v>
      </c>
      <c r="T4045" s="14">
        <f t="shared" si="381"/>
        <v>41963.957465277781</v>
      </c>
      <c r="U4045" s="64">
        <f t="shared" si="382"/>
        <v>15</v>
      </c>
      <c r="V4045" s="13" t="str">
        <f t="shared" si="383"/>
        <v>underfunded</v>
      </c>
    </row>
    <row r="4046" spans="1:22" ht="48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8314</v>
      </c>
      <c r="R4046" t="s">
        <v>8315</v>
      </c>
      <c r="S4046" s="14">
        <f t="shared" si="380"/>
        <v>42074.219699074078</v>
      </c>
      <c r="T4046" s="14">
        <f t="shared" si="381"/>
        <v>42104.208333333328</v>
      </c>
      <c r="U4046" s="64">
        <f t="shared" si="382"/>
        <v>29.98863425925083</v>
      </c>
      <c r="V4046" s="13" t="str">
        <f t="shared" si="383"/>
        <v>underfunded</v>
      </c>
    </row>
    <row r="4047" spans="1:22" ht="48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0" t="s">
        <v>8314</v>
      </c>
      <c r="R4047" t="s">
        <v>8315</v>
      </c>
      <c r="S4047" s="14">
        <f t="shared" si="380"/>
        <v>41842.201261574075</v>
      </c>
      <c r="T4047" s="14">
        <f t="shared" si="381"/>
        <v>41872.201261574075</v>
      </c>
      <c r="U4047" s="64">
        <f t="shared" si="382"/>
        <v>30</v>
      </c>
      <c r="V4047" s="13" t="str">
        <f t="shared" si="383"/>
        <v>underfunded</v>
      </c>
    </row>
    <row r="4048" spans="1:22" ht="48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8314</v>
      </c>
      <c r="R4048" t="s">
        <v>8315</v>
      </c>
      <c r="S4048" s="14">
        <f t="shared" si="380"/>
        <v>41904.650578703702</v>
      </c>
      <c r="T4048" s="14">
        <f t="shared" si="381"/>
        <v>41934.650578703702</v>
      </c>
      <c r="U4048" s="64">
        <f t="shared" si="382"/>
        <v>30</v>
      </c>
      <c r="V4048" s="13" t="str">
        <f t="shared" si="383"/>
        <v>underfunded</v>
      </c>
    </row>
    <row r="4049" spans="1:22" ht="48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8314</v>
      </c>
      <c r="R4049" t="s">
        <v>8315</v>
      </c>
      <c r="S4049" s="14">
        <f t="shared" si="380"/>
        <v>41991.022488425922</v>
      </c>
      <c r="T4049" s="14">
        <f t="shared" si="381"/>
        <v>42015.041666666672</v>
      </c>
      <c r="U4049" s="64">
        <f t="shared" si="382"/>
        <v>24.01917824074917</v>
      </c>
      <c r="V4049" s="13" t="str">
        <f t="shared" si="383"/>
        <v>underfunded</v>
      </c>
    </row>
    <row r="4050" spans="1:22" ht="48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8314</v>
      </c>
      <c r="R4050" t="s">
        <v>8315</v>
      </c>
      <c r="S4050" s="14">
        <f t="shared" si="380"/>
        <v>42436.509108796294</v>
      </c>
      <c r="T4050" s="14">
        <f t="shared" si="381"/>
        <v>42471.467442129629</v>
      </c>
      <c r="U4050" s="64">
        <f t="shared" si="382"/>
        <v>34.958333333335759</v>
      </c>
      <c r="V4050" s="13" t="str">
        <f t="shared" si="383"/>
        <v>underfunded</v>
      </c>
    </row>
    <row r="4051" spans="1:22" ht="48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0" t="s">
        <v>8314</v>
      </c>
      <c r="R4051" t="s">
        <v>8315</v>
      </c>
      <c r="S4051" s="14">
        <f t="shared" si="380"/>
        <v>42169.958506944444</v>
      </c>
      <c r="T4051" s="14">
        <f t="shared" si="381"/>
        <v>42199.958506944444</v>
      </c>
      <c r="U4051" s="64">
        <f t="shared" si="382"/>
        <v>30</v>
      </c>
      <c r="V4051" s="13" t="str">
        <f t="shared" si="383"/>
        <v>underfunded</v>
      </c>
    </row>
    <row r="4052" spans="1:22" ht="48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0" t="s">
        <v>8314</v>
      </c>
      <c r="R4052" t="s">
        <v>8315</v>
      </c>
      <c r="S4052" s="14">
        <f t="shared" si="380"/>
        <v>41905.636469907404</v>
      </c>
      <c r="T4052" s="14">
        <f t="shared" si="381"/>
        <v>41935.636469907404</v>
      </c>
      <c r="U4052" s="64">
        <f t="shared" si="382"/>
        <v>30</v>
      </c>
      <c r="V4052" s="13" t="str">
        <f t="shared" si="383"/>
        <v>underfunded</v>
      </c>
    </row>
    <row r="4053" spans="1:22" ht="48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0" t="s">
        <v>8314</v>
      </c>
      <c r="R4053" t="s">
        <v>8315</v>
      </c>
      <c r="S4053" s="14">
        <f t="shared" si="380"/>
        <v>41761.810150462967</v>
      </c>
      <c r="T4053" s="14">
        <f t="shared" si="381"/>
        <v>41768.286805555559</v>
      </c>
      <c r="U4053" s="64">
        <f t="shared" si="382"/>
        <v>6.4766550925924093</v>
      </c>
      <c r="V4053" s="13" t="str">
        <f t="shared" si="383"/>
        <v>underfunded</v>
      </c>
    </row>
    <row r="4054" spans="1:22" ht="6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8314</v>
      </c>
      <c r="R4054" t="s">
        <v>8315</v>
      </c>
      <c r="S4054" s="14">
        <f t="shared" si="380"/>
        <v>41865.878657407404</v>
      </c>
      <c r="T4054" s="14">
        <f t="shared" si="381"/>
        <v>41925.878657407404</v>
      </c>
      <c r="U4054" s="64">
        <f t="shared" si="382"/>
        <v>60</v>
      </c>
      <c r="V4054" s="13" t="str">
        <f t="shared" si="383"/>
        <v>underfunded</v>
      </c>
    </row>
    <row r="4055" spans="1:22" ht="48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8314</v>
      </c>
      <c r="R4055" t="s">
        <v>8315</v>
      </c>
      <c r="S4055" s="14">
        <f t="shared" si="380"/>
        <v>41928.690138888887</v>
      </c>
      <c r="T4055" s="14">
        <f t="shared" si="381"/>
        <v>41958.833333333328</v>
      </c>
      <c r="U4055" s="64">
        <f t="shared" si="382"/>
        <v>30.143194444441178</v>
      </c>
      <c r="V4055" s="13" t="str">
        <f t="shared" si="383"/>
        <v>underfunded</v>
      </c>
    </row>
    <row r="4056" spans="1:22" ht="48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0" t="s">
        <v>8314</v>
      </c>
      <c r="R4056" t="s">
        <v>8315</v>
      </c>
      <c r="S4056" s="14">
        <f t="shared" si="380"/>
        <v>42613.841261574074</v>
      </c>
      <c r="T4056" s="14">
        <f t="shared" si="381"/>
        <v>42644.166666666672</v>
      </c>
      <c r="U4056" s="64">
        <f t="shared" si="382"/>
        <v>30.325405092597066</v>
      </c>
      <c r="V4056" s="13" t="str">
        <f t="shared" si="383"/>
        <v>underfunded</v>
      </c>
    </row>
    <row r="4057" spans="1:22" ht="48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8314</v>
      </c>
      <c r="R4057" t="s">
        <v>8315</v>
      </c>
      <c r="S4057" s="14">
        <f t="shared" si="380"/>
        <v>41779.648506944446</v>
      </c>
      <c r="T4057" s="14">
        <f t="shared" si="381"/>
        <v>41809.648506944446</v>
      </c>
      <c r="U4057" s="64">
        <f t="shared" si="382"/>
        <v>30</v>
      </c>
      <c r="V4057" s="13" t="str">
        <f t="shared" si="383"/>
        <v>underfunded</v>
      </c>
    </row>
    <row r="4058" spans="1:22" ht="48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8314</v>
      </c>
      <c r="R4058" t="s">
        <v>8315</v>
      </c>
      <c r="S4058" s="14">
        <f t="shared" si="380"/>
        <v>42534.933321759265</v>
      </c>
      <c r="T4058" s="14">
        <f t="shared" si="381"/>
        <v>42554.832638888889</v>
      </c>
      <c r="U4058" s="64">
        <f t="shared" si="382"/>
        <v>19.899317129624251</v>
      </c>
      <c r="V4058" s="13" t="str">
        <f t="shared" si="383"/>
        <v>underfunded</v>
      </c>
    </row>
    <row r="4059" spans="1:22" ht="48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8314</v>
      </c>
      <c r="R4059" t="s">
        <v>8315</v>
      </c>
      <c r="S4059" s="14">
        <f t="shared" si="380"/>
        <v>42310.968518518523</v>
      </c>
      <c r="T4059" s="14">
        <f t="shared" si="381"/>
        <v>42333.958333333328</v>
      </c>
      <c r="U4059" s="64">
        <f t="shared" si="382"/>
        <v>22.989814814805868</v>
      </c>
      <c r="V4059" s="13" t="str">
        <f t="shared" si="383"/>
        <v>underfunded</v>
      </c>
    </row>
    <row r="4060" spans="1:22" ht="48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8314</v>
      </c>
      <c r="R4060" t="s">
        <v>8315</v>
      </c>
      <c r="S4060" s="14">
        <f t="shared" si="380"/>
        <v>42446.060694444444</v>
      </c>
      <c r="T4060" s="14">
        <f t="shared" si="381"/>
        <v>42461.165972222225</v>
      </c>
      <c r="U4060" s="64">
        <f t="shared" si="382"/>
        <v>15.105277777780429</v>
      </c>
      <c r="V4060" s="13" t="str">
        <f t="shared" si="383"/>
        <v>underfunded</v>
      </c>
    </row>
    <row r="4061" spans="1:22" ht="48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8314</v>
      </c>
      <c r="R4061" t="s">
        <v>8315</v>
      </c>
      <c r="S4061" s="14">
        <f t="shared" si="380"/>
        <v>41866.640648148146</v>
      </c>
      <c r="T4061" s="14">
        <f t="shared" si="381"/>
        <v>41898.125</v>
      </c>
      <c r="U4061" s="64">
        <f t="shared" si="382"/>
        <v>31.484351851853717</v>
      </c>
      <c r="V4061" s="13" t="str">
        <f t="shared" si="383"/>
        <v>underfunded</v>
      </c>
    </row>
    <row r="4062" spans="1:22" ht="48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8314</v>
      </c>
      <c r="R4062" t="s">
        <v>8315</v>
      </c>
      <c r="S4062" s="14">
        <f t="shared" si="380"/>
        <v>41779.695092592592</v>
      </c>
      <c r="T4062" s="14">
        <f t="shared" si="381"/>
        <v>41813.666666666664</v>
      </c>
      <c r="U4062" s="64">
        <f t="shared" si="382"/>
        <v>33.971574074072123</v>
      </c>
      <c r="V4062" s="13" t="str">
        <f t="shared" si="383"/>
        <v>underfunded</v>
      </c>
    </row>
    <row r="4063" spans="1:22" ht="3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8314</v>
      </c>
      <c r="R4063" t="s">
        <v>8315</v>
      </c>
      <c r="S4063" s="14">
        <f t="shared" si="380"/>
        <v>42421.141469907408</v>
      </c>
      <c r="T4063" s="14">
        <f t="shared" si="381"/>
        <v>42481.099803240737</v>
      </c>
      <c r="U4063" s="64">
        <f t="shared" si="382"/>
        <v>59.958333333328483</v>
      </c>
      <c r="V4063" s="13" t="str">
        <f t="shared" si="383"/>
        <v>underfunded</v>
      </c>
    </row>
    <row r="4064" spans="1:22" ht="48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8314</v>
      </c>
      <c r="R4064" t="s">
        <v>8315</v>
      </c>
      <c r="S4064" s="14">
        <f t="shared" si="380"/>
        <v>42523.739212962959</v>
      </c>
      <c r="T4064" s="14">
        <f t="shared" si="381"/>
        <v>42553.739212962959</v>
      </c>
      <c r="U4064" s="64">
        <f t="shared" si="382"/>
        <v>30</v>
      </c>
      <c r="V4064" s="13" t="str">
        <f t="shared" si="383"/>
        <v>underfunded</v>
      </c>
    </row>
    <row r="4065" spans="1:22" ht="48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8314</v>
      </c>
      <c r="R4065" t="s">
        <v>8315</v>
      </c>
      <c r="S4065" s="14">
        <f t="shared" si="380"/>
        <v>41787.681527777779</v>
      </c>
      <c r="T4065" s="14">
        <f t="shared" si="381"/>
        <v>41817.681527777779</v>
      </c>
      <c r="U4065" s="64">
        <f t="shared" si="382"/>
        <v>30</v>
      </c>
      <c r="V4065" s="13" t="str">
        <f t="shared" si="383"/>
        <v>underfunded</v>
      </c>
    </row>
    <row r="4066" spans="1:22" ht="48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8314</v>
      </c>
      <c r="R4066" t="s">
        <v>8315</v>
      </c>
      <c r="S4066" s="14">
        <f t="shared" si="380"/>
        <v>42093.588263888887</v>
      </c>
      <c r="T4066" s="14">
        <f t="shared" si="381"/>
        <v>42123.588263888887</v>
      </c>
      <c r="U4066" s="64">
        <f t="shared" si="382"/>
        <v>30</v>
      </c>
      <c r="V4066" s="13" t="str">
        <f t="shared" si="383"/>
        <v>underfunded</v>
      </c>
    </row>
    <row r="4067" spans="1:22" ht="3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8314</v>
      </c>
      <c r="R4067" t="s">
        <v>8315</v>
      </c>
      <c r="S4067" s="14">
        <f t="shared" si="380"/>
        <v>41833.951516203706</v>
      </c>
      <c r="T4067" s="14">
        <f t="shared" si="381"/>
        <v>41863.951516203706</v>
      </c>
      <c r="U4067" s="64">
        <f t="shared" si="382"/>
        <v>30</v>
      </c>
      <c r="V4067" s="13" t="str">
        <f t="shared" si="383"/>
        <v>underfunded</v>
      </c>
    </row>
    <row r="4068" spans="1:22" ht="48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0" t="s">
        <v>8314</v>
      </c>
      <c r="R4068" t="s">
        <v>8315</v>
      </c>
      <c r="S4068" s="14">
        <f t="shared" si="380"/>
        <v>42479.039212962962</v>
      </c>
      <c r="T4068" s="14">
        <f t="shared" si="381"/>
        <v>42509.039212962962</v>
      </c>
      <c r="U4068" s="64">
        <f t="shared" si="382"/>
        <v>30</v>
      </c>
      <c r="V4068" s="13" t="str">
        <f t="shared" si="383"/>
        <v>underfunded</v>
      </c>
    </row>
    <row r="4069" spans="1:22" ht="48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8314</v>
      </c>
      <c r="R4069" t="s">
        <v>8315</v>
      </c>
      <c r="S4069" s="14">
        <f t="shared" si="380"/>
        <v>42235.117476851854</v>
      </c>
      <c r="T4069" s="14">
        <f t="shared" si="381"/>
        <v>42275.117476851854</v>
      </c>
      <c r="U4069" s="64">
        <f t="shared" si="382"/>
        <v>40</v>
      </c>
      <c r="V4069" s="13" t="str">
        <f t="shared" si="383"/>
        <v>underfunded</v>
      </c>
    </row>
    <row r="4070" spans="1:22" ht="3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8314</v>
      </c>
      <c r="R4070" t="s">
        <v>8315</v>
      </c>
      <c r="S4070" s="14">
        <f t="shared" si="380"/>
        <v>42718.963599537034</v>
      </c>
      <c r="T4070" s="14">
        <f t="shared" si="381"/>
        <v>42748.961805555555</v>
      </c>
      <c r="U4070" s="64">
        <f t="shared" si="382"/>
        <v>29.998206018521159</v>
      </c>
      <c r="V4070" s="13" t="str">
        <f t="shared" si="383"/>
        <v>underfunded</v>
      </c>
    </row>
    <row r="4071" spans="1:22" ht="48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8314</v>
      </c>
      <c r="R4071" t="s">
        <v>8315</v>
      </c>
      <c r="S4071" s="14">
        <f t="shared" si="380"/>
        <v>42022.661527777775</v>
      </c>
      <c r="T4071" s="14">
        <f t="shared" si="381"/>
        <v>42063.5</v>
      </c>
      <c r="U4071" s="64">
        <f t="shared" si="382"/>
        <v>40.838472222225391</v>
      </c>
      <c r="V4071" s="13" t="str">
        <f t="shared" si="383"/>
        <v>underfunded</v>
      </c>
    </row>
    <row r="4072" spans="1:22" ht="3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8314</v>
      </c>
      <c r="R4072" t="s">
        <v>8315</v>
      </c>
      <c r="S4072" s="14">
        <f t="shared" si="380"/>
        <v>42031.666898148149</v>
      </c>
      <c r="T4072" s="14">
        <f t="shared" si="381"/>
        <v>42064.125</v>
      </c>
      <c r="U4072" s="64">
        <f t="shared" si="382"/>
        <v>32.458101851851097</v>
      </c>
      <c r="V4072" s="13" t="str">
        <f t="shared" si="383"/>
        <v>underfunded</v>
      </c>
    </row>
    <row r="4073" spans="1:22" ht="48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0" t="s">
        <v>8314</v>
      </c>
      <c r="R4073" t="s">
        <v>8315</v>
      </c>
      <c r="S4073" s="14">
        <f t="shared" si="380"/>
        <v>42700.804756944446</v>
      </c>
      <c r="T4073" s="14">
        <f t="shared" si="381"/>
        <v>42730.804756944446</v>
      </c>
      <c r="U4073" s="64">
        <f t="shared" si="382"/>
        <v>30</v>
      </c>
      <c r="V4073" s="13" t="str">
        <f t="shared" si="383"/>
        <v>underfunded</v>
      </c>
    </row>
    <row r="4074" spans="1:22" ht="48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0" t="s">
        <v>8314</v>
      </c>
      <c r="R4074" t="s">
        <v>8315</v>
      </c>
      <c r="S4074" s="14">
        <f t="shared" si="380"/>
        <v>41812.77443287037</v>
      </c>
      <c r="T4074" s="14">
        <f t="shared" si="381"/>
        <v>41872.77443287037</v>
      </c>
      <c r="U4074" s="64">
        <f t="shared" si="382"/>
        <v>60</v>
      </c>
      <c r="V4074" s="13" t="str">
        <f t="shared" si="383"/>
        <v>underfunded</v>
      </c>
    </row>
    <row r="4075" spans="1:22" ht="48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8314</v>
      </c>
      <c r="R4075" t="s">
        <v>8315</v>
      </c>
      <c r="S4075" s="14">
        <f t="shared" si="380"/>
        <v>42078.34520833334</v>
      </c>
      <c r="T4075" s="14">
        <f t="shared" si="381"/>
        <v>42133.166666666672</v>
      </c>
      <c r="U4075" s="64">
        <f t="shared" si="382"/>
        <v>54.821458333331975</v>
      </c>
      <c r="V4075" s="13" t="str">
        <f t="shared" si="383"/>
        <v>underfunded</v>
      </c>
    </row>
    <row r="4076" spans="1:22" ht="48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8314</v>
      </c>
      <c r="R4076" t="s">
        <v>8315</v>
      </c>
      <c r="S4076" s="14">
        <f t="shared" si="380"/>
        <v>42283.552951388891</v>
      </c>
      <c r="T4076" s="14">
        <f t="shared" si="381"/>
        <v>42313.594618055555</v>
      </c>
      <c r="U4076" s="64">
        <f t="shared" si="382"/>
        <v>30.041666666664241</v>
      </c>
      <c r="V4076" s="13" t="str">
        <f t="shared" si="383"/>
        <v>underfunded</v>
      </c>
    </row>
    <row r="4077" spans="1:22" ht="48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8314</v>
      </c>
      <c r="R4077" t="s">
        <v>8315</v>
      </c>
      <c r="S4077" s="14">
        <f t="shared" si="380"/>
        <v>41779.045937499999</v>
      </c>
      <c r="T4077" s="14">
        <f t="shared" si="381"/>
        <v>41820.727777777778</v>
      </c>
      <c r="U4077" s="64">
        <f t="shared" si="382"/>
        <v>41.681840277778974</v>
      </c>
      <c r="V4077" s="13" t="str">
        <f t="shared" si="383"/>
        <v>underfunded</v>
      </c>
    </row>
    <row r="4078" spans="1:22" ht="48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0" t="s">
        <v>8314</v>
      </c>
      <c r="R4078" t="s">
        <v>8315</v>
      </c>
      <c r="S4078" s="14">
        <f t="shared" si="380"/>
        <v>41905.795706018522</v>
      </c>
      <c r="T4078" s="14">
        <f t="shared" si="381"/>
        <v>41933.82708333333</v>
      </c>
      <c r="U4078" s="64">
        <f t="shared" si="382"/>
        <v>28.031377314808196</v>
      </c>
      <c r="V4078" s="13" t="str">
        <f t="shared" si="383"/>
        <v>underfunded</v>
      </c>
    </row>
    <row r="4079" spans="1:22" ht="48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8314</v>
      </c>
      <c r="R4079" t="s">
        <v>8315</v>
      </c>
      <c r="S4079" s="14">
        <f t="shared" si="380"/>
        <v>42695.7105787037</v>
      </c>
      <c r="T4079" s="14">
        <f t="shared" si="381"/>
        <v>42725.7105787037</v>
      </c>
      <c r="U4079" s="64">
        <f t="shared" si="382"/>
        <v>30</v>
      </c>
      <c r="V4079" s="13" t="str">
        <f t="shared" si="383"/>
        <v>underfunded</v>
      </c>
    </row>
    <row r="4080" spans="1:22" ht="48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8314</v>
      </c>
      <c r="R4080" t="s">
        <v>8315</v>
      </c>
      <c r="S4080" s="14">
        <f t="shared" si="380"/>
        <v>42732.787523148145</v>
      </c>
      <c r="T4080" s="14">
        <f t="shared" si="381"/>
        <v>42762.787523148145</v>
      </c>
      <c r="U4080" s="64">
        <f t="shared" si="382"/>
        <v>30</v>
      </c>
      <c r="V4080" s="13" t="str">
        <f t="shared" si="383"/>
        <v>underfunded</v>
      </c>
    </row>
    <row r="4081" spans="1:22" ht="48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0" t="s">
        <v>8314</v>
      </c>
      <c r="R4081" t="s">
        <v>8315</v>
      </c>
      <c r="S4081" s="14">
        <f t="shared" si="380"/>
        <v>42510.938900462963</v>
      </c>
      <c r="T4081" s="14">
        <f t="shared" si="381"/>
        <v>42540.938900462963</v>
      </c>
      <c r="U4081" s="64">
        <f t="shared" si="382"/>
        <v>30</v>
      </c>
      <c r="V4081" s="13" t="str">
        <f t="shared" si="383"/>
        <v>underfunded</v>
      </c>
    </row>
    <row r="4082" spans="1:22" ht="48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8314</v>
      </c>
      <c r="R4082" t="s">
        <v>8315</v>
      </c>
      <c r="S4082" s="14">
        <f t="shared" si="380"/>
        <v>42511.698101851856</v>
      </c>
      <c r="T4082" s="14">
        <f t="shared" si="381"/>
        <v>42535.787500000006</v>
      </c>
      <c r="U4082" s="64">
        <f t="shared" si="382"/>
        <v>24.089398148149485</v>
      </c>
      <c r="V4082" s="13" t="str">
        <f t="shared" si="383"/>
        <v>underfunded</v>
      </c>
    </row>
    <row r="4083" spans="1:22" ht="48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8314</v>
      </c>
      <c r="R4083" t="s">
        <v>8315</v>
      </c>
      <c r="S4083" s="14">
        <f t="shared" si="380"/>
        <v>42041.581307870365</v>
      </c>
      <c r="T4083" s="14">
        <f t="shared" si="381"/>
        <v>42071.539641203708</v>
      </c>
      <c r="U4083" s="64">
        <f t="shared" si="382"/>
        <v>29.958333333343035</v>
      </c>
      <c r="V4083" s="13" t="str">
        <f t="shared" si="383"/>
        <v>underfunded</v>
      </c>
    </row>
    <row r="4084" spans="1:22" ht="48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8314</v>
      </c>
      <c r="R4084" t="s">
        <v>8315</v>
      </c>
      <c r="S4084" s="14">
        <f t="shared" si="380"/>
        <v>42307.189270833333</v>
      </c>
      <c r="T4084" s="14">
        <f t="shared" si="381"/>
        <v>42322.958333333328</v>
      </c>
      <c r="U4084" s="64">
        <f t="shared" si="382"/>
        <v>15.769062499995925</v>
      </c>
      <c r="V4084" s="13" t="str">
        <f t="shared" si="383"/>
        <v>underfunded</v>
      </c>
    </row>
    <row r="4085" spans="1:22" ht="48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8314</v>
      </c>
      <c r="R4085" t="s">
        <v>8315</v>
      </c>
      <c r="S4085" s="14">
        <f t="shared" si="380"/>
        <v>42353.761759259258</v>
      </c>
      <c r="T4085" s="14">
        <f t="shared" si="381"/>
        <v>42383.761759259258</v>
      </c>
      <c r="U4085" s="64">
        <f t="shared" si="382"/>
        <v>30</v>
      </c>
      <c r="V4085" s="13" t="str">
        <f t="shared" si="383"/>
        <v>underfunded</v>
      </c>
    </row>
    <row r="4086" spans="1:22" ht="48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0" t="s">
        <v>8314</v>
      </c>
      <c r="R4086" t="s">
        <v>8315</v>
      </c>
      <c r="S4086" s="14">
        <f t="shared" si="380"/>
        <v>42622.436412037037</v>
      </c>
      <c r="T4086" s="14">
        <f t="shared" si="381"/>
        <v>42652.436412037037</v>
      </c>
      <c r="U4086" s="64">
        <f t="shared" si="382"/>
        <v>30</v>
      </c>
      <c r="V4086" s="13" t="str">
        <f t="shared" si="383"/>
        <v>underfunded</v>
      </c>
    </row>
    <row r="4087" spans="1:22" ht="48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0" t="s">
        <v>8314</v>
      </c>
      <c r="R4087" t="s">
        <v>8315</v>
      </c>
      <c r="S4087" s="14">
        <f t="shared" si="380"/>
        <v>42058.603877314818</v>
      </c>
      <c r="T4087" s="14">
        <f t="shared" si="381"/>
        <v>42087.165972222225</v>
      </c>
      <c r="U4087" s="64">
        <f t="shared" si="382"/>
        <v>28.5620949074073</v>
      </c>
      <c r="V4087" s="13" t="str">
        <f t="shared" si="383"/>
        <v>underfunded</v>
      </c>
    </row>
    <row r="4088" spans="1:22" ht="48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8314</v>
      </c>
      <c r="R4088" t="s">
        <v>8315</v>
      </c>
      <c r="S4088" s="14">
        <f t="shared" si="380"/>
        <v>42304.940960648149</v>
      </c>
      <c r="T4088" s="14">
        <f t="shared" si="381"/>
        <v>42329.166666666672</v>
      </c>
      <c r="U4088" s="64">
        <f t="shared" si="382"/>
        <v>24.225706018522033</v>
      </c>
      <c r="V4088" s="13" t="str">
        <f t="shared" si="383"/>
        <v>underfunded</v>
      </c>
    </row>
    <row r="4089" spans="1:22" ht="16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8314</v>
      </c>
      <c r="R4089" t="s">
        <v>8315</v>
      </c>
      <c r="S4089" s="14">
        <f t="shared" si="380"/>
        <v>42538.742893518516</v>
      </c>
      <c r="T4089" s="14">
        <f t="shared" si="381"/>
        <v>42568.742893518516</v>
      </c>
      <c r="U4089" s="64">
        <f t="shared" si="382"/>
        <v>30</v>
      </c>
      <c r="V4089" s="13" t="str">
        <f t="shared" si="383"/>
        <v>underfunded</v>
      </c>
    </row>
    <row r="4090" spans="1:22" ht="48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8314</v>
      </c>
      <c r="R4090" t="s">
        <v>8315</v>
      </c>
      <c r="S4090" s="14">
        <f t="shared" si="380"/>
        <v>41990.612546296295</v>
      </c>
      <c r="T4090" s="14">
        <f t="shared" si="381"/>
        <v>42020.434722222228</v>
      </c>
      <c r="U4090" s="64">
        <f t="shared" si="382"/>
        <v>29.822175925932243</v>
      </c>
      <c r="V4090" s="13" t="str">
        <f t="shared" si="383"/>
        <v>underfunded</v>
      </c>
    </row>
    <row r="4091" spans="1:22" ht="48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8314</v>
      </c>
      <c r="R4091" t="s">
        <v>8315</v>
      </c>
      <c r="S4091" s="14">
        <f t="shared" si="380"/>
        <v>42122.732499999998</v>
      </c>
      <c r="T4091" s="14">
        <f t="shared" si="381"/>
        <v>42155.732638888891</v>
      </c>
      <c r="U4091" s="64">
        <f t="shared" si="382"/>
        <v>33.000138888892252</v>
      </c>
      <c r="V4091" s="13" t="str">
        <f t="shared" si="383"/>
        <v>underfunded</v>
      </c>
    </row>
    <row r="4092" spans="1:22" ht="48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8314</v>
      </c>
      <c r="R4092" t="s">
        <v>8315</v>
      </c>
      <c r="S4092" s="14">
        <f t="shared" si="380"/>
        <v>42209.67288194444</v>
      </c>
      <c r="T4092" s="14">
        <f t="shared" si="381"/>
        <v>42223.625</v>
      </c>
      <c r="U4092" s="64">
        <f t="shared" si="382"/>
        <v>13.952118055560277</v>
      </c>
      <c r="V4092" s="13" t="str">
        <f t="shared" si="383"/>
        <v>underfunded</v>
      </c>
    </row>
    <row r="4093" spans="1:22" ht="48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8314</v>
      </c>
      <c r="R4093" t="s">
        <v>8315</v>
      </c>
      <c r="S4093" s="14">
        <f t="shared" si="380"/>
        <v>41990.506377314814</v>
      </c>
      <c r="T4093" s="14">
        <f t="shared" si="381"/>
        <v>42020.506377314814</v>
      </c>
      <c r="U4093" s="64">
        <f t="shared" si="382"/>
        <v>30</v>
      </c>
      <c r="V4093" s="13" t="str">
        <f t="shared" si="383"/>
        <v>underfunded</v>
      </c>
    </row>
    <row r="4094" spans="1:22" ht="48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0" t="s">
        <v>8314</v>
      </c>
      <c r="R4094" t="s">
        <v>8315</v>
      </c>
      <c r="S4094" s="14">
        <f t="shared" si="380"/>
        <v>42039.194988425923</v>
      </c>
      <c r="T4094" s="14">
        <f t="shared" si="381"/>
        <v>42099.153321759266</v>
      </c>
      <c r="U4094" s="64">
        <f t="shared" si="382"/>
        <v>59.958333333343035</v>
      </c>
      <c r="V4094" s="13" t="str">
        <f t="shared" si="383"/>
        <v>underfunded</v>
      </c>
    </row>
    <row r="4095" spans="1:22" ht="48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8314</v>
      </c>
      <c r="R4095" t="s">
        <v>8315</v>
      </c>
      <c r="S4095" s="14">
        <f t="shared" si="380"/>
        <v>42178.815891203703</v>
      </c>
      <c r="T4095" s="14">
        <f t="shared" si="381"/>
        <v>42238.815891203703</v>
      </c>
      <c r="U4095" s="64">
        <f t="shared" si="382"/>
        <v>60</v>
      </c>
      <c r="V4095" s="13" t="str">
        <f t="shared" si="383"/>
        <v>underfunded</v>
      </c>
    </row>
    <row r="4096" spans="1:22" ht="48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8314</v>
      </c>
      <c r="R4096" t="s">
        <v>8315</v>
      </c>
      <c r="S4096" s="14">
        <f t="shared" si="380"/>
        <v>41890.086805555555</v>
      </c>
      <c r="T4096" s="14">
        <f t="shared" si="381"/>
        <v>41934.207638888889</v>
      </c>
      <c r="U4096" s="64">
        <f t="shared" si="382"/>
        <v>44.120833333334303</v>
      </c>
      <c r="V4096" s="13" t="str">
        <f t="shared" si="383"/>
        <v>underfunded</v>
      </c>
    </row>
    <row r="4097" spans="1:22" ht="3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8314</v>
      </c>
      <c r="R4097" t="s">
        <v>8315</v>
      </c>
      <c r="S4097" s="14">
        <f t="shared" si="380"/>
        <v>42693.031828703708</v>
      </c>
      <c r="T4097" s="14">
        <f t="shared" si="381"/>
        <v>42723.031828703708</v>
      </c>
      <c r="U4097" s="64">
        <f t="shared" si="382"/>
        <v>30</v>
      </c>
      <c r="V4097" s="13" t="str">
        <f t="shared" si="383"/>
        <v>underfunded</v>
      </c>
    </row>
    <row r="4098" spans="1:22" ht="48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</v>
      </c>
      <c r="P4098">
        <f t="shared" si="379"/>
        <v>80</v>
      </c>
      <c r="Q4098" s="10" t="s">
        <v>8314</v>
      </c>
      <c r="R4098" t="s">
        <v>8315</v>
      </c>
      <c r="S4098" s="14">
        <f t="shared" si="380"/>
        <v>42750.530312499999</v>
      </c>
      <c r="T4098" s="14">
        <f t="shared" si="381"/>
        <v>42794.368749999994</v>
      </c>
      <c r="U4098" s="64">
        <f t="shared" si="382"/>
        <v>43.838437499995052</v>
      </c>
      <c r="V4098" s="13" t="str">
        <f t="shared" si="383"/>
        <v>underfunded</v>
      </c>
    </row>
    <row r="4099" spans="1:22" ht="48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ROUND(E4099/D4099*100,0)</f>
        <v>0</v>
      </c>
      <c r="P4099">
        <f t="shared" ref="P4099:P4115" si="385">IFERROR(ROUND(E4099/L4099,2), 0)</f>
        <v>0</v>
      </c>
      <c r="Q4099" s="10" t="s">
        <v>8314</v>
      </c>
      <c r="R4099" t="s">
        <v>8315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 s="64">
        <f t="shared" ref="U4099:V4115" si="388">T4099-S4099</f>
        <v>56.172025462961756</v>
      </c>
      <c r="V4099" s="13" t="str">
        <f t="shared" ref="V4099:V4115" si="389">IF(E4099&gt;=D4099, "funded", "underfunded")</f>
        <v>underfunded</v>
      </c>
    </row>
    <row r="4100" spans="1:22" ht="48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8314</v>
      </c>
      <c r="R4100" t="s">
        <v>8315</v>
      </c>
      <c r="S4100" s="14">
        <f t="shared" si="386"/>
        <v>42495.722187499996</v>
      </c>
      <c r="T4100" s="14">
        <f t="shared" si="387"/>
        <v>42525.722187499996</v>
      </c>
      <c r="U4100" s="64">
        <f t="shared" si="388"/>
        <v>30</v>
      </c>
      <c r="V4100" s="13" t="str">
        <f t="shared" si="389"/>
        <v>underfunded</v>
      </c>
    </row>
    <row r="4101" spans="1:22" ht="48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8314</v>
      </c>
      <c r="R4101" t="s">
        <v>8315</v>
      </c>
      <c r="S4101" s="14">
        <f t="shared" si="386"/>
        <v>42570.850381944445</v>
      </c>
      <c r="T4101" s="14">
        <f t="shared" si="387"/>
        <v>42615.850381944445</v>
      </c>
      <c r="U4101" s="64">
        <f t="shared" si="388"/>
        <v>45</v>
      </c>
      <c r="V4101" s="13" t="str">
        <f t="shared" si="389"/>
        <v>underfunded</v>
      </c>
    </row>
    <row r="4102" spans="1:22" ht="3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8314</v>
      </c>
      <c r="R4102" t="s">
        <v>8315</v>
      </c>
      <c r="S4102" s="14">
        <f t="shared" si="386"/>
        <v>41927.124884259261</v>
      </c>
      <c r="T4102" s="14">
        <f t="shared" si="387"/>
        <v>41937.124884259261</v>
      </c>
      <c r="U4102" s="64">
        <f t="shared" si="388"/>
        <v>10</v>
      </c>
      <c r="V4102" s="13" t="str">
        <f t="shared" si="389"/>
        <v>underfunded</v>
      </c>
    </row>
    <row r="4103" spans="1:22" ht="48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8314</v>
      </c>
      <c r="R4103" t="s">
        <v>8315</v>
      </c>
      <c r="S4103" s="14">
        <f t="shared" si="386"/>
        <v>42730.903726851851</v>
      </c>
      <c r="T4103" s="14">
        <f t="shared" si="387"/>
        <v>42760.903726851851</v>
      </c>
      <c r="U4103" s="64">
        <f t="shared" si="388"/>
        <v>30</v>
      </c>
      <c r="V4103" s="13" t="str">
        <f t="shared" si="389"/>
        <v>underfunded</v>
      </c>
    </row>
    <row r="4104" spans="1:22" ht="48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8314</v>
      </c>
      <c r="R4104" t="s">
        <v>8315</v>
      </c>
      <c r="S4104" s="14">
        <f t="shared" si="386"/>
        <v>42475.848067129627</v>
      </c>
      <c r="T4104" s="14">
        <f t="shared" si="387"/>
        <v>42505.848067129627</v>
      </c>
      <c r="U4104" s="64">
        <f t="shared" si="388"/>
        <v>30</v>
      </c>
      <c r="V4104" s="13" t="str">
        <f t="shared" si="389"/>
        <v>underfunded</v>
      </c>
    </row>
    <row r="4105" spans="1:22" ht="48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8314</v>
      </c>
      <c r="R4105" t="s">
        <v>8315</v>
      </c>
      <c r="S4105" s="14">
        <f t="shared" si="386"/>
        <v>42188.83293981482</v>
      </c>
      <c r="T4105" s="14">
        <f t="shared" si="387"/>
        <v>42242.772222222222</v>
      </c>
      <c r="U4105" s="64">
        <f t="shared" si="388"/>
        <v>53.939282407402061</v>
      </c>
      <c r="V4105" s="13" t="str">
        <f t="shared" si="389"/>
        <v>underfunded</v>
      </c>
    </row>
    <row r="4106" spans="1:22" ht="48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8314</v>
      </c>
      <c r="R4106" t="s">
        <v>8315</v>
      </c>
      <c r="S4106" s="14">
        <f t="shared" si="386"/>
        <v>42640.278171296297</v>
      </c>
      <c r="T4106" s="14">
        <f t="shared" si="387"/>
        <v>42670.278171296297</v>
      </c>
      <c r="U4106" s="64">
        <f t="shared" si="388"/>
        <v>30</v>
      </c>
      <c r="V4106" s="13" t="str">
        <f t="shared" si="389"/>
        <v>underfunded</v>
      </c>
    </row>
    <row r="4107" spans="1:22" ht="48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8314</v>
      </c>
      <c r="R4107" t="s">
        <v>8315</v>
      </c>
      <c r="S4107" s="14">
        <f t="shared" si="386"/>
        <v>42697.010520833333</v>
      </c>
      <c r="T4107" s="14">
        <f t="shared" si="387"/>
        <v>42730.010520833333</v>
      </c>
      <c r="U4107" s="64">
        <f t="shared" si="388"/>
        <v>33</v>
      </c>
      <c r="V4107" s="13" t="str">
        <f t="shared" si="389"/>
        <v>underfunded</v>
      </c>
    </row>
    <row r="4108" spans="1:22" ht="48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8314</v>
      </c>
      <c r="R4108" t="s">
        <v>8315</v>
      </c>
      <c r="S4108" s="14">
        <f t="shared" si="386"/>
        <v>42053.049375000002</v>
      </c>
      <c r="T4108" s="14">
        <f t="shared" si="387"/>
        <v>42096.041666666672</v>
      </c>
      <c r="U4108" s="64">
        <f t="shared" si="388"/>
        <v>42.992291666669189</v>
      </c>
      <c r="V4108" s="13" t="str">
        <f t="shared" si="389"/>
        <v>underfunded</v>
      </c>
    </row>
    <row r="4109" spans="1:22" ht="48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8314</v>
      </c>
      <c r="R4109" t="s">
        <v>8315</v>
      </c>
      <c r="S4109" s="14">
        <f t="shared" si="386"/>
        <v>41883.916678240741</v>
      </c>
      <c r="T4109" s="14">
        <f t="shared" si="387"/>
        <v>41906.916678240741</v>
      </c>
      <c r="U4109" s="64">
        <f t="shared" si="388"/>
        <v>23</v>
      </c>
      <c r="V4109" s="13" t="str">
        <f t="shared" si="389"/>
        <v>underfunded</v>
      </c>
    </row>
    <row r="4110" spans="1:22" ht="48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8314</v>
      </c>
      <c r="R4110" t="s">
        <v>8315</v>
      </c>
      <c r="S4110" s="14">
        <f t="shared" si="386"/>
        <v>42767.031678240746</v>
      </c>
      <c r="T4110" s="14">
        <f t="shared" si="387"/>
        <v>42797.208333333328</v>
      </c>
      <c r="U4110" s="64">
        <f t="shared" si="388"/>
        <v>30.176655092582223</v>
      </c>
      <c r="V4110" s="13" t="str">
        <f t="shared" si="389"/>
        <v>underfunded</v>
      </c>
    </row>
    <row r="4111" spans="1:22" ht="48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8314</v>
      </c>
      <c r="R4111" t="s">
        <v>8315</v>
      </c>
      <c r="S4111" s="14">
        <f t="shared" si="386"/>
        <v>42307.539398148147</v>
      </c>
      <c r="T4111" s="14">
        <f t="shared" si="387"/>
        <v>42337.581064814818</v>
      </c>
      <c r="U4111" s="64">
        <f t="shared" si="388"/>
        <v>30.041666666671517</v>
      </c>
      <c r="V4111" s="13" t="str">
        <f t="shared" si="389"/>
        <v>underfunded</v>
      </c>
    </row>
    <row r="4112" spans="1:22" ht="48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8314</v>
      </c>
      <c r="R4112" t="s">
        <v>8315</v>
      </c>
      <c r="S4112" s="14">
        <f t="shared" si="386"/>
        <v>42512.626747685179</v>
      </c>
      <c r="T4112" s="14">
        <f t="shared" si="387"/>
        <v>42572.626747685179</v>
      </c>
      <c r="U4112" s="64">
        <f t="shared" si="388"/>
        <v>60</v>
      </c>
      <c r="V4112" s="13" t="str">
        <f t="shared" si="389"/>
        <v>underfunded</v>
      </c>
    </row>
    <row r="4113" spans="1:22" ht="48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8314</v>
      </c>
      <c r="R4113" t="s">
        <v>8315</v>
      </c>
      <c r="S4113" s="14">
        <f t="shared" si="386"/>
        <v>42029.135879629626</v>
      </c>
      <c r="T4113" s="14">
        <f t="shared" si="387"/>
        <v>42059.135879629626</v>
      </c>
      <c r="U4113" s="64">
        <f t="shared" si="388"/>
        <v>30</v>
      </c>
      <c r="V4113" s="13" t="str">
        <f t="shared" si="389"/>
        <v>underfunded</v>
      </c>
    </row>
    <row r="4114" spans="1:22" ht="48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0" t="s">
        <v>8314</v>
      </c>
      <c r="R4114" t="s">
        <v>8315</v>
      </c>
      <c r="S4114" s="14">
        <f t="shared" si="386"/>
        <v>42400.946597222224</v>
      </c>
      <c r="T4114" s="14">
        <f t="shared" si="387"/>
        <v>42428</v>
      </c>
      <c r="U4114" s="64">
        <f t="shared" si="388"/>
        <v>27.053402777775773</v>
      </c>
      <c r="V4114" s="13" t="str">
        <f t="shared" si="389"/>
        <v>underfunded</v>
      </c>
    </row>
    <row r="4115" spans="1:22" ht="48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0" t="s">
        <v>8314</v>
      </c>
      <c r="R4115" t="s">
        <v>8315</v>
      </c>
      <c r="S4115" s="14">
        <f t="shared" si="386"/>
        <v>42358.573182870372</v>
      </c>
      <c r="T4115" s="14">
        <f t="shared" si="387"/>
        <v>42377.273611111115</v>
      </c>
      <c r="U4115" s="64">
        <f t="shared" si="388"/>
        <v>18.700428240743349</v>
      </c>
      <c r="V4115" s="13" t="str">
        <f t="shared" si="389"/>
        <v>underfunded</v>
      </c>
    </row>
  </sheetData>
  <sortState xmlns:xlrd2="http://schemas.microsoft.com/office/spreadsheetml/2017/richdata2" ref="A2:O4116">
    <sortCondition ref="A1"/>
  </sortState>
  <conditionalFormatting sqref="F1:F1048576">
    <cfRule type="cellIs" dxfId="15" priority="1" operator="equal">
      <formula>"successful"</formula>
    </cfRule>
    <cfRule type="cellIs" dxfId="14" priority="3" operator="equal">
      <formula>"successfCategory!"</formula>
    </cfRule>
    <cfRule type="cellIs" dxfId="13" priority="5" operator="equal">
      <formula>"canceled"</formula>
    </cfRule>
    <cfRule type="cellIs" dxfId="12" priority="8" operator="equal">
      <formula>"failed"</formula>
    </cfRule>
    <cfRule type="cellIs" dxfId="11" priority="9" operator="equal">
      <formula>"failed"</formula>
    </cfRule>
    <cfRule type="cellIs" dxfId="10" priority="10" operator="equal">
      <formula>"successful"</formula>
    </cfRule>
    <cfRule type="cellIs" dxfId="9" priority="11" operator="equal">
      <formula>"live"</formula>
    </cfRule>
    <cfRule type="cellIs" dxfId="8" priority="12" operator="equal">
      <formula>"live"</formula>
    </cfRule>
  </conditionalFormatting>
  <conditionalFormatting sqref="E53">
    <cfRule type="cellIs" dxfId="7" priority="7" operator="equal">
      <formula>"canceled"</formula>
    </cfRule>
  </conditionalFormatting>
  <conditionalFormatting sqref="F21">
    <cfRule type="cellIs" dxfId="6" priority="6" operator="equal">
      <formula>"canceled"</formula>
    </cfRule>
  </conditionalFormatting>
  <conditionalFormatting sqref="F2">
    <cfRule type="cellIs" dxfId="5" priority="2" operator="equal">
      <formula>"successful"</formula>
    </cfRule>
  </conditionalFormatting>
  <conditionalFormatting sqref="O1:O1048576 P1 R1:T1">
    <cfRule type="colorScale" priority="14">
      <colorScale>
        <cfvo type="min"/>
        <cfvo type="percentile" val="90"/>
        <color rgb="FFFF7878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9624-2267-D74B-B87A-5D9960D70D3E}">
  <dimension ref="A1:I55"/>
  <sheetViews>
    <sheetView zoomScale="81" zoomScaleNormal="209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6" sqref="G6"/>
    </sheetView>
  </sheetViews>
  <sheetFormatPr baseColWidth="10" defaultRowHeight="15"/>
  <cols>
    <col min="1" max="1" width="16.1640625" style="21" bestFit="1" customWidth="1"/>
    <col min="2" max="6" width="10.83203125" style="19" customWidth="1"/>
    <col min="7" max="7" width="12.1640625" style="21" customWidth="1"/>
    <col min="8" max="8" width="10.6640625" style="27" customWidth="1"/>
    <col min="9" max="16384" width="10.83203125" style="19"/>
  </cols>
  <sheetData>
    <row r="1" spans="1:8" s="33" customFormat="1">
      <c r="A1" s="43" t="s">
        <v>8222</v>
      </c>
      <c r="B1" s="34" t="s">
        <v>8223</v>
      </c>
      <c r="G1" s="20"/>
      <c r="H1" s="26"/>
    </row>
    <row r="3" spans="1:8">
      <c r="A3" s="49" t="s">
        <v>8361</v>
      </c>
      <c r="B3" s="49" t="s">
        <v>8358</v>
      </c>
      <c r="C3" s="32"/>
      <c r="D3" s="50"/>
      <c r="E3" s="50"/>
      <c r="F3" s="34"/>
      <c r="G3" s="40"/>
      <c r="H3" s="41"/>
    </row>
    <row r="4" spans="1:8" ht="32">
      <c r="A4" s="49" t="s">
        <v>8360</v>
      </c>
      <c r="B4" s="58" t="s">
        <v>8219</v>
      </c>
      <c r="C4" s="55" t="s">
        <v>8220</v>
      </c>
      <c r="D4" s="55" t="s">
        <v>8221</v>
      </c>
      <c r="E4" s="57" t="s">
        <v>8218</v>
      </c>
      <c r="F4" s="56" t="s">
        <v>8359</v>
      </c>
      <c r="G4" s="60" t="s">
        <v>8364</v>
      </c>
      <c r="H4" s="59" t="s">
        <v>8380</v>
      </c>
    </row>
    <row r="5" spans="1:8" s="37" customFormat="1">
      <c r="A5" s="51" t="s">
        <v>8307</v>
      </c>
      <c r="B5" s="46">
        <v>31</v>
      </c>
      <c r="C5" s="47">
        <v>130</v>
      </c>
      <c r="D5" s="47"/>
      <c r="E5" s="47">
        <v>261</v>
      </c>
      <c r="F5" s="47">
        <v>422</v>
      </c>
      <c r="G5" s="29">
        <f>IFERROR(ROUND(E5/F5,2)," ")</f>
        <v>0.62</v>
      </c>
      <c r="H5" s="22">
        <f>IFERROR(ROUND(C5/F5,2)," ")</f>
        <v>0.31</v>
      </c>
    </row>
    <row r="6" spans="1:8" s="37" customFormat="1">
      <c r="A6" s="52" t="s">
        <v>8333</v>
      </c>
      <c r="B6" s="39">
        <v>15</v>
      </c>
      <c r="C6" s="36">
        <v>115</v>
      </c>
      <c r="D6" s="36">
        <v>4</v>
      </c>
      <c r="E6" s="36">
        <v>34</v>
      </c>
      <c r="F6" s="36">
        <v>168</v>
      </c>
      <c r="G6" s="29">
        <f t="shared" ref="G6:G55" si="0">IFERROR(ROUND(E6/F6,2)," ")</f>
        <v>0.2</v>
      </c>
      <c r="H6" s="22">
        <f t="shared" ref="H6:H55" si="1">IFERROR(ROUND(C6/F6,2)," ")</f>
        <v>0.68</v>
      </c>
    </row>
    <row r="7" spans="1:8" s="37" customFormat="1">
      <c r="A7" s="52" t="s">
        <v>8330</v>
      </c>
      <c r="B7" s="39"/>
      <c r="C7" s="36">
        <v>96</v>
      </c>
      <c r="D7" s="36"/>
      <c r="E7" s="36">
        <v>52</v>
      </c>
      <c r="F7" s="36">
        <v>148</v>
      </c>
      <c r="G7" s="29">
        <f t="shared" si="0"/>
        <v>0.35</v>
      </c>
      <c r="H7" s="22">
        <f t="shared" si="1"/>
        <v>0.65</v>
      </c>
    </row>
    <row r="8" spans="1:8" s="37" customFormat="1">
      <c r="A8" s="52" t="s">
        <v>8328</v>
      </c>
      <c r="B8" s="39">
        <v>23</v>
      </c>
      <c r="C8" s="36"/>
      <c r="D8" s="36"/>
      <c r="E8" s="36"/>
      <c r="F8" s="36">
        <v>23</v>
      </c>
      <c r="G8" s="29">
        <f t="shared" si="0"/>
        <v>0</v>
      </c>
      <c r="H8" s="22">
        <f t="shared" si="1"/>
        <v>0</v>
      </c>
    </row>
    <row r="9" spans="1:8" s="37" customFormat="1">
      <c r="A9" s="52" t="s">
        <v>8322</v>
      </c>
      <c r="B9" s="39">
        <v>19</v>
      </c>
      <c r="C9" s="36">
        <v>110</v>
      </c>
      <c r="D9" s="36">
        <v>17</v>
      </c>
      <c r="E9" s="36">
        <v>490</v>
      </c>
      <c r="F9" s="36">
        <v>636</v>
      </c>
      <c r="G9" s="29">
        <f t="shared" si="0"/>
        <v>0.77</v>
      </c>
      <c r="H9" s="22">
        <f t="shared" si="1"/>
        <v>0.17</v>
      </c>
    </row>
    <row r="10" spans="1:8" s="37" customFormat="1">
      <c r="A10" s="52" t="s">
        <v>8335</v>
      </c>
      <c r="B10" s="39"/>
      <c r="C10" s="36">
        <v>72</v>
      </c>
      <c r="D10" s="36"/>
      <c r="E10" s="36">
        <v>62</v>
      </c>
      <c r="F10" s="36">
        <v>134</v>
      </c>
      <c r="G10" s="29">
        <f t="shared" si="0"/>
        <v>0.46</v>
      </c>
      <c r="H10" s="22">
        <f t="shared" si="1"/>
        <v>0.54</v>
      </c>
    </row>
    <row r="11" spans="1:8" s="37" customFormat="1">
      <c r="A11" s="52" t="s">
        <v>8319</v>
      </c>
      <c r="B11" s="39">
        <v>22</v>
      </c>
      <c r="C11" s="36">
        <v>87</v>
      </c>
      <c r="D11" s="36"/>
      <c r="E11" s="36">
        <v>69</v>
      </c>
      <c r="F11" s="36">
        <v>178</v>
      </c>
      <c r="G11" s="29">
        <f t="shared" si="0"/>
        <v>0.39</v>
      </c>
      <c r="H11" s="22">
        <f t="shared" si="1"/>
        <v>0.49</v>
      </c>
    </row>
    <row r="12" spans="1:8" s="37" customFormat="1">
      <c r="A12" s="52" t="s">
        <v>8316</v>
      </c>
      <c r="B12" s="39">
        <v>121</v>
      </c>
      <c r="C12" s="36">
        <v>138</v>
      </c>
      <c r="D12" s="36"/>
      <c r="E12" s="36">
        <v>158</v>
      </c>
      <c r="F12" s="36">
        <v>417</v>
      </c>
      <c r="G12" s="29">
        <f t="shared" si="0"/>
        <v>0.38</v>
      </c>
      <c r="H12" s="22">
        <f t="shared" si="1"/>
        <v>0.33</v>
      </c>
    </row>
    <row r="13" spans="1:8" s="37" customFormat="1">
      <c r="A13" s="53" t="s">
        <v>8314</v>
      </c>
      <c r="B13" s="39">
        <v>26</v>
      </c>
      <c r="C13" s="36">
        <v>349</v>
      </c>
      <c r="D13" s="36">
        <v>12</v>
      </c>
      <c r="E13" s="36">
        <v>525</v>
      </c>
      <c r="F13" s="36">
        <v>912</v>
      </c>
      <c r="G13" s="29">
        <f t="shared" si="0"/>
        <v>0.57999999999999996</v>
      </c>
      <c r="H13" s="22">
        <f t="shared" si="1"/>
        <v>0.38</v>
      </c>
    </row>
    <row r="14" spans="1:8">
      <c r="A14" s="54" t="s">
        <v>8359</v>
      </c>
      <c r="B14" s="48">
        <v>257</v>
      </c>
      <c r="C14" s="44">
        <v>1097</v>
      </c>
      <c r="D14" s="44">
        <v>33</v>
      </c>
      <c r="E14" s="44">
        <v>1651</v>
      </c>
      <c r="F14" s="45">
        <v>3038</v>
      </c>
      <c r="G14" s="29">
        <f t="shared" si="0"/>
        <v>0.54</v>
      </c>
      <c r="H14" s="22">
        <f t="shared" si="1"/>
        <v>0.36</v>
      </c>
    </row>
    <row r="15" spans="1:8">
      <c r="A15"/>
      <c r="B15"/>
      <c r="C15"/>
      <c r="D15"/>
      <c r="E15"/>
      <c r="F15"/>
      <c r="G15" s="22" t="str">
        <f t="shared" si="0"/>
        <v xml:space="preserve"> </v>
      </c>
      <c r="H15" s="22" t="str">
        <f t="shared" si="1"/>
        <v xml:space="preserve"> </v>
      </c>
    </row>
    <row r="16" spans="1:8">
      <c r="A16"/>
      <c r="B16"/>
      <c r="C16"/>
      <c r="D16"/>
      <c r="E16"/>
      <c r="F16"/>
      <c r="G16" s="22" t="str">
        <f t="shared" si="0"/>
        <v xml:space="preserve"> </v>
      </c>
      <c r="H16" s="22" t="str">
        <f t="shared" si="1"/>
        <v xml:space="preserve"> </v>
      </c>
    </row>
    <row r="17" spans="1:9">
      <c r="A17"/>
      <c r="B17"/>
      <c r="C17"/>
      <c r="D17"/>
      <c r="E17"/>
      <c r="F17"/>
      <c r="G17" s="22" t="str">
        <f t="shared" si="0"/>
        <v xml:space="preserve"> </v>
      </c>
      <c r="H17" s="22" t="str">
        <f t="shared" si="1"/>
        <v xml:space="preserve"> </v>
      </c>
      <c r="I17" s="34"/>
    </row>
    <row r="18" spans="1:9">
      <c r="A18"/>
      <c r="B18"/>
      <c r="C18"/>
      <c r="D18"/>
      <c r="E18"/>
      <c r="F18"/>
      <c r="G18" s="35" t="str">
        <f t="shared" si="0"/>
        <v xml:space="preserve"> </v>
      </c>
      <c r="H18" s="30" t="str">
        <f t="shared" si="1"/>
        <v xml:space="preserve"> </v>
      </c>
    </row>
    <row r="19" spans="1:9">
      <c r="A19"/>
      <c r="B19"/>
      <c r="C19"/>
      <c r="D19"/>
      <c r="E19"/>
      <c r="F19"/>
      <c r="G19" s="22" t="str">
        <f t="shared" si="0"/>
        <v xml:space="preserve"> </v>
      </c>
      <c r="H19" s="22" t="str">
        <f t="shared" si="1"/>
        <v xml:space="preserve"> </v>
      </c>
    </row>
    <row r="20" spans="1:9">
      <c r="A20"/>
      <c r="B20"/>
      <c r="C20"/>
      <c r="D20"/>
      <c r="E20"/>
      <c r="F20"/>
      <c r="G20" s="22" t="str">
        <f t="shared" si="0"/>
        <v xml:space="preserve"> </v>
      </c>
      <c r="H20" s="22" t="str">
        <f t="shared" si="1"/>
        <v xml:space="preserve"> </v>
      </c>
    </row>
    <row r="21" spans="1:9">
      <c r="A21"/>
      <c r="B21"/>
      <c r="C21"/>
      <c r="D21"/>
      <c r="E21"/>
      <c r="F21"/>
      <c r="G21" s="25" t="str">
        <f t="shared" si="0"/>
        <v xml:space="preserve"> </v>
      </c>
      <c r="H21" s="24" t="str">
        <f t="shared" si="1"/>
        <v xml:space="preserve"> </v>
      </c>
    </row>
    <row r="22" spans="1:9">
      <c r="A22"/>
      <c r="B22"/>
      <c r="C22"/>
      <c r="D22"/>
      <c r="E22"/>
      <c r="F22"/>
      <c r="G22" s="22" t="str">
        <f t="shared" si="0"/>
        <v xml:space="preserve"> </v>
      </c>
      <c r="H22" s="24" t="str">
        <f t="shared" si="1"/>
        <v xml:space="preserve"> </v>
      </c>
    </row>
    <row r="23" spans="1:9">
      <c r="A23"/>
      <c r="B23"/>
      <c r="C23"/>
      <c r="D23"/>
      <c r="E23"/>
      <c r="F23"/>
      <c r="G23" s="22" t="str">
        <f t="shared" si="0"/>
        <v xml:space="preserve"> </v>
      </c>
      <c r="H23" s="24" t="str">
        <f t="shared" si="1"/>
        <v xml:space="preserve"> </v>
      </c>
    </row>
    <row r="24" spans="1:9">
      <c r="G24" s="24" t="str">
        <f t="shared" si="0"/>
        <v xml:space="preserve"> </v>
      </c>
      <c r="H24" s="24" t="str">
        <f t="shared" si="1"/>
        <v xml:space="preserve"> </v>
      </c>
    </row>
    <row r="25" spans="1:9">
      <c r="G25" s="25" t="str">
        <f t="shared" si="0"/>
        <v xml:space="preserve"> </v>
      </c>
      <c r="H25" s="24" t="str">
        <f>IFERROR(ROUND(C25/F25,2)," ")</f>
        <v xml:space="preserve"> </v>
      </c>
    </row>
    <row r="26" spans="1:9">
      <c r="G26" s="22" t="str">
        <f t="shared" si="0"/>
        <v xml:space="preserve"> </v>
      </c>
      <c r="H26" s="22" t="str">
        <f t="shared" si="1"/>
        <v xml:space="preserve"> </v>
      </c>
    </row>
    <row r="27" spans="1:9">
      <c r="G27" s="24" t="str">
        <f t="shared" si="0"/>
        <v xml:space="preserve"> </v>
      </c>
      <c r="H27" s="23" t="str">
        <f t="shared" si="1"/>
        <v xml:space="preserve"> </v>
      </c>
    </row>
    <row r="28" spans="1:9">
      <c r="G28" s="24" t="str">
        <f t="shared" si="0"/>
        <v xml:space="preserve"> </v>
      </c>
      <c r="H28" s="23" t="str">
        <f t="shared" si="1"/>
        <v xml:space="preserve"> </v>
      </c>
    </row>
    <row r="29" spans="1:9">
      <c r="G29" s="22" t="str">
        <f t="shared" si="0"/>
        <v xml:space="preserve"> </v>
      </c>
      <c r="H29" s="29" t="str">
        <f t="shared" si="1"/>
        <v xml:space="preserve"> </v>
      </c>
    </row>
    <row r="30" spans="1:9">
      <c r="G30" s="24" t="str">
        <f t="shared" si="0"/>
        <v xml:space="preserve"> </v>
      </c>
      <c r="H30" s="23" t="str">
        <f t="shared" si="1"/>
        <v xml:space="preserve"> </v>
      </c>
    </row>
    <row r="31" spans="1:9">
      <c r="G31" s="24" t="str">
        <f t="shared" si="0"/>
        <v xml:space="preserve"> </v>
      </c>
      <c r="H31" s="23" t="str">
        <f t="shared" si="1"/>
        <v xml:space="preserve"> </v>
      </c>
    </row>
    <row r="32" spans="1:9">
      <c r="G32" s="22" t="str">
        <f t="shared" si="0"/>
        <v xml:space="preserve"> </v>
      </c>
      <c r="H32" s="31" t="str">
        <f t="shared" si="1"/>
        <v xml:space="preserve"> </v>
      </c>
    </row>
    <row r="33" spans="7:9">
      <c r="G33" s="22" t="str">
        <f t="shared" si="0"/>
        <v xml:space="preserve"> </v>
      </c>
      <c r="H33" s="29" t="str">
        <f t="shared" si="1"/>
        <v xml:space="preserve"> </v>
      </c>
      <c r="I33" s="26"/>
    </row>
    <row r="34" spans="7:9">
      <c r="G34" s="24" t="str">
        <f t="shared" si="0"/>
        <v xml:space="preserve"> </v>
      </c>
      <c r="H34" s="23" t="str">
        <f t="shared" si="1"/>
        <v xml:space="preserve"> </v>
      </c>
      <c r="I34" s="27"/>
    </row>
    <row r="35" spans="7:9">
      <c r="G35" s="25" t="str">
        <f t="shared" si="0"/>
        <v xml:space="preserve"> </v>
      </c>
      <c r="H35" s="30" t="str">
        <f t="shared" si="1"/>
        <v xml:space="preserve"> </v>
      </c>
      <c r="I35" s="27"/>
    </row>
    <row r="36" spans="7:9">
      <c r="G36" s="22" t="str">
        <f t="shared" si="0"/>
        <v xml:space="preserve"> </v>
      </c>
      <c r="H36" s="29" t="str">
        <f t="shared" si="1"/>
        <v xml:space="preserve"> </v>
      </c>
      <c r="I36" s="27"/>
    </row>
    <row r="37" spans="7:9">
      <c r="G37" s="25" t="str">
        <f t="shared" si="0"/>
        <v xml:space="preserve"> </v>
      </c>
      <c r="H37" s="30" t="str">
        <f t="shared" si="1"/>
        <v xml:space="preserve"> </v>
      </c>
      <c r="I37" s="27"/>
    </row>
    <row r="38" spans="7:9">
      <c r="G38" s="22" t="str">
        <f t="shared" si="0"/>
        <v xml:space="preserve"> </v>
      </c>
      <c r="H38" s="29" t="str">
        <f t="shared" si="1"/>
        <v xml:space="preserve"> </v>
      </c>
      <c r="I38" s="27"/>
    </row>
    <row r="39" spans="7:9">
      <c r="G39" s="25" t="str">
        <f t="shared" si="0"/>
        <v xml:space="preserve"> </v>
      </c>
      <c r="H39" s="30" t="str">
        <f t="shared" si="1"/>
        <v xml:space="preserve"> </v>
      </c>
      <c r="I39" s="27"/>
    </row>
    <row r="40" spans="7:9">
      <c r="G40" s="22" t="str">
        <f t="shared" si="0"/>
        <v xml:space="preserve"> </v>
      </c>
      <c r="H40" s="29" t="str">
        <f t="shared" si="1"/>
        <v xml:space="preserve"> </v>
      </c>
      <c r="I40" s="26"/>
    </row>
    <row r="41" spans="7:9">
      <c r="G41" s="24" t="str">
        <f t="shared" si="0"/>
        <v xml:space="preserve"> </v>
      </c>
      <c r="H41" s="23" t="str">
        <f t="shared" si="1"/>
        <v xml:space="preserve"> </v>
      </c>
      <c r="I41" s="27"/>
    </row>
    <row r="42" spans="7:9">
      <c r="G42" s="25" t="str">
        <f t="shared" si="0"/>
        <v xml:space="preserve"> </v>
      </c>
      <c r="H42" s="23" t="str">
        <f t="shared" si="1"/>
        <v xml:space="preserve"> </v>
      </c>
      <c r="I42" s="27"/>
    </row>
    <row r="43" spans="7:9">
      <c r="G43" s="22" t="str">
        <f t="shared" si="0"/>
        <v xml:space="preserve"> </v>
      </c>
      <c r="H43" s="29" t="str">
        <f t="shared" si="1"/>
        <v xml:space="preserve"> </v>
      </c>
      <c r="I43" s="28"/>
    </row>
    <row r="44" spans="7:9">
      <c r="G44" s="24" t="str">
        <f t="shared" si="0"/>
        <v xml:space="preserve"> </v>
      </c>
      <c r="H44" s="30" t="str">
        <f t="shared" si="1"/>
        <v xml:space="preserve"> </v>
      </c>
      <c r="I44" s="27"/>
    </row>
    <row r="45" spans="7:9">
      <c r="G45" s="22" t="str">
        <f t="shared" si="0"/>
        <v xml:space="preserve"> </v>
      </c>
      <c r="H45" s="22" t="str">
        <f t="shared" si="1"/>
        <v xml:space="preserve"> </v>
      </c>
      <c r="I45" s="28"/>
    </row>
    <row r="46" spans="7:9">
      <c r="G46" s="24" t="str">
        <f t="shared" si="0"/>
        <v xml:space="preserve"> </v>
      </c>
      <c r="H46" s="24" t="str">
        <f t="shared" si="1"/>
        <v xml:space="preserve"> </v>
      </c>
    </row>
    <row r="47" spans="7:9">
      <c r="G47" s="42" t="str">
        <f t="shared" si="0"/>
        <v xml:space="preserve"> </v>
      </c>
      <c r="H47" s="25" t="str">
        <f t="shared" si="1"/>
        <v xml:space="preserve"> </v>
      </c>
    </row>
    <row r="48" spans="7:9">
      <c r="G48" s="22" t="str">
        <f t="shared" si="0"/>
        <v xml:space="preserve"> </v>
      </c>
      <c r="H48" s="22" t="str">
        <f t="shared" si="1"/>
        <v xml:space="preserve"> </v>
      </c>
    </row>
    <row r="49" spans="1:8">
      <c r="G49" s="22" t="str">
        <f t="shared" si="0"/>
        <v xml:space="preserve"> </v>
      </c>
      <c r="H49" s="24" t="str">
        <f t="shared" si="1"/>
        <v xml:space="preserve"> </v>
      </c>
    </row>
    <row r="50" spans="1:8">
      <c r="G50" s="22" t="str">
        <f t="shared" si="0"/>
        <v xml:space="preserve"> </v>
      </c>
      <c r="H50" s="24" t="str">
        <f t="shared" si="1"/>
        <v xml:space="preserve"> </v>
      </c>
    </row>
    <row r="51" spans="1:8">
      <c r="G51" s="24" t="str">
        <f t="shared" si="0"/>
        <v xml:space="preserve"> </v>
      </c>
      <c r="H51" s="22" t="str">
        <f t="shared" si="1"/>
        <v xml:space="preserve"> </v>
      </c>
    </row>
    <row r="52" spans="1:8">
      <c r="G52" s="24" t="str">
        <f t="shared" si="0"/>
        <v xml:space="preserve"> </v>
      </c>
      <c r="H52" s="24" t="str">
        <f t="shared" si="1"/>
        <v xml:space="preserve"> </v>
      </c>
    </row>
    <row r="53" spans="1:8">
      <c r="G53" s="22" t="str">
        <f t="shared" si="0"/>
        <v xml:space="preserve"> </v>
      </c>
      <c r="H53" s="22" t="str">
        <f t="shared" si="1"/>
        <v xml:space="preserve"> </v>
      </c>
    </row>
    <row r="54" spans="1:8">
      <c r="G54" s="22" t="str">
        <f t="shared" si="0"/>
        <v xml:space="preserve"> </v>
      </c>
      <c r="H54" s="22" t="str">
        <f t="shared" si="1"/>
        <v xml:space="preserve"> </v>
      </c>
    </row>
    <row r="55" spans="1:8" s="38" customFormat="1">
      <c r="A55" s="21"/>
      <c r="B55" s="19"/>
      <c r="C55" s="19"/>
      <c r="D55" s="19"/>
      <c r="E55" s="19"/>
      <c r="F55" s="19"/>
      <c r="G55" s="24" t="str">
        <f t="shared" si="0"/>
        <v xml:space="preserve"> </v>
      </c>
      <c r="H55" s="23" t="str">
        <f t="shared" si="1"/>
        <v xml:space="preserve"> 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8C39-DA27-CA4A-AE7C-C4785CCBD148}">
  <dimension ref="A1:H46"/>
  <sheetViews>
    <sheetView zoomScale="89" zoomScaleNormal="113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H4" sqref="H4"/>
    </sheetView>
  </sheetViews>
  <sheetFormatPr baseColWidth="10" defaultRowHeight="15"/>
  <cols>
    <col min="1" max="1" width="16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4" customWidth="1"/>
    <col min="8" max="8" width="52.5" bestFit="1" customWidth="1"/>
    <col min="9" max="9" width="13" bestFit="1" customWidth="1"/>
    <col min="10" max="10" width="20" bestFit="1" customWidth="1"/>
    <col min="11" max="11" width="17.33203125" bestFit="1" customWidth="1"/>
  </cols>
  <sheetData>
    <row r="1" spans="1:8">
      <c r="A1" s="11" t="s">
        <v>8222</v>
      </c>
      <c r="B1" t="s">
        <v>8389</v>
      </c>
      <c r="H1" s="62" t="s">
        <v>8385</v>
      </c>
    </row>
    <row r="2" spans="1:8">
      <c r="H2" s="61" t="s">
        <v>8387</v>
      </c>
    </row>
    <row r="3" spans="1:8">
      <c r="A3" s="11" t="s">
        <v>8361</v>
      </c>
      <c r="B3" s="11" t="s">
        <v>8358</v>
      </c>
      <c r="H3" s="61" t="s">
        <v>8388</v>
      </c>
    </row>
    <row r="4" spans="1:8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  <c r="H4" s="61" t="s">
        <v>8430</v>
      </c>
    </row>
    <row r="5" spans="1:8">
      <c r="A5" s="12" t="s">
        <v>8313</v>
      </c>
      <c r="B5" s="13"/>
      <c r="C5" s="13">
        <v>100</v>
      </c>
      <c r="D5" s="13"/>
      <c r="E5" s="13"/>
      <c r="F5" s="13">
        <v>100</v>
      </c>
    </row>
    <row r="6" spans="1:8">
      <c r="A6" s="12" t="s">
        <v>8341</v>
      </c>
      <c r="B6" s="13">
        <v>20</v>
      </c>
      <c r="C6" s="13"/>
      <c r="D6" s="13"/>
      <c r="E6" s="13"/>
      <c r="F6" s="13">
        <v>20</v>
      </c>
    </row>
    <row r="7" spans="1:8">
      <c r="A7" s="12" t="s">
        <v>8329</v>
      </c>
      <c r="B7" s="13">
        <v>24</v>
      </c>
      <c r="C7" s="13"/>
      <c r="D7" s="13"/>
      <c r="E7" s="13"/>
      <c r="F7" s="13">
        <v>24</v>
      </c>
    </row>
    <row r="8" spans="1:8">
      <c r="A8" s="12" t="s">
        <v>8355</v>
      </c>
      <c r="B8" s="13"/>
      <c r="C8" s="13">
        <v>40</v>
      </c>
      <c r="D8" s="13"/>
      <c r="E8" s="13"/>
      <c r="F8" s="13">
        <v>40</v>
      </c>
    </row>
    <row r="9" spans="1:8">
      <c r="A9" s="12" t="s">
        <v>8351</v>
      </c>
      <c r="B9" s="13"/>
      <c r="C9" s="13"/>
      <c r="D9" s="13"/>
      <c r="E9" s="13">
        <v>40</v>
      </c>
      <c r="F9" s="13">
        <v>40</v>
      </c>
    </row>
    <row r="10" spans="1:8">
      <c r="A10" s="12" t="s">
        <v>8312</v>
      </c>
      <c r="B10" s="13"/>
      <c r="C10" s="13"/>
      <c r="D10" s="13"/>
      <c r="E10" s="13">
        <v>180</v>
      </c>
      <c r="F10" s="13">
        <v>180</v>
      </c>
    </row>
    <row r="11" spans="1:8">
      <c r="A11" s="12" t="s">
        <v>8311</v>
      </c>
      <c r="B11" s="13"/>
      <c r="C11" s="13">
        <v>80</v>
      </c>
      <c r="D11" s="13"/>
      <c r="E11" s="13"/>
      <c r="F11" s="13">
        <v>80</v>
      </c>
    </row>
    <row r="12" spans="1:8">
      <c r="A12" s="12" t="s">
        <v>8327</v>
      </c>
      <c r="B12" s="13"/>
      <c r="C12" s="13"/>
      <c r="D12" s="13"/>
      <c r="E12" s="13">
        <v>40</v>
      </c>
      <c r="F12" s="13">
        <v>40</v>
      </c>
    </row>
    <row r="13" spans="1:8">
      <c r="A13" s="12" t="s">
        <v>8344</v>
      </c>
      <c r="B13" s="13"/>
      <c r="C13" s="13">
        <v>40</v>
      </c>
      <c r="D13" s="13">
        <v>20</v>
      </c>
      <c r="E13" s="13"/>
      <c r="F13" s="13">
        <v>60</v>
      </c>
    </row>
    <row r="14" spans="1:8">
      <c r="A14" s="12" t="s">
        <v>8321</v>
      </c>
      <c r="B14" s="13"/>
      <c r="C14" s="13">
        <v>40</v>
      </c>
      <c r="D14" s="13"/>
      <c r="E14" s="13"/>
      <c r="F14" s="13">
        <v>40</v>
      </c>
    </row>
    <row r="15" spans="1:8">
      <c r="A15" s="12" t="s">
        <v>8334</v>
      </c>
      <c r="B15" s="13">
        <v>20</v>
      </c>
      <c r="C15" s="13">
        <v>120</v>
      </c>
      <c r="D15" s="13"/>
      <c r="E15" s="13"/>
      <c r="F15" s="13">
        <v>140</v>
      </c>
    </row>
    <row r="16" spans="1:8">
      <c r="A16" s="12" t="s">
        <v>8345</v>
      </c>
      <c r="B16" s="13"/>
      <c r="C16" s="13">
        <v>20</v>
      </c>
      <c r="D16" s="13"/>
      <c r="E16" s="13"/>
      <c r="F16" s="13">
        <v>20</v>
      </c>
    </row>
    <row r="17" spans="1:6">
      <c r="A17" s="12" t="s">
        <v>8346</v>
      </c>
      <c r="B17" s="13"/>
      <c r="C17" s="13"/>
      <c r="D17" s="13"/>
      <c r="E17" s="13">
        <v>140</v>
      </c>
      <c r="F17" s="13">
        <v>140</v>
      </c>
    </row>
    <row r="18" spans="1:6">
      <c r="A18" s="12" t="s">
        <v>8326</v>
      </c>
      <c r="B18" s="13"/>
      <c r="C18" s="13">
        <v>20</v>
      </c>
      <c r="D18" s="13"/>
      <c r="E18" s="13">
        <v>140</v>
      </c>
      <c r="F18" s="13">
        <v>160</v>
      </c>
    </row>
    <row r="19" spans="1:6">
      <c r="A19" s="12" t="s">
        <v>8325</v>
      </c>
      <c r="B19" s="13"/>
      <c r="C19" s="13">
        <v>60</v>
      </c>
      <c r="D19" s="13"/>
      <c r="E19" s="13"/>
      <c r="F19" s="13">
        <v>60</v>
      </c>
    </row>
    <row r="20" spans="1:6">
      <c r="A20" s="12" t="s">
        <v>8353</v>
      </c>
      <c r="B20" s="13"/>
      <c r="C20" s="13">
        <v>11</v>
      </c>
      <c r="D20" s="13"/>
      <c r="E20" s="13">
        <v>9</v>
      </c>
      <c r="F20" s="13">
        <v>20</v>
      </c>
    </row>
    <row r="21" spans="1:6">
      <c r="A21" s="12" t="s">
        <v>8324</v>
      </c>
      <c r="B21" s="13"/>
      <c r="C21" s="13"/>
      <c r="D21" s="13"/>
      <c r="E21" s="13">
        <v>20</v>
      </c>
      <c r="F21" s="13">
        <v>20</v>
      </c>
    </row>
    <row r="22" spans="1:6">
      <c r="A22" s="12" t="s">
        <v>8332</v>
      </c>
      <c r="B22" s="13"/>
      <c r="C22" s="13">
        <v>40</v>
      </c>
      <c r="D22" s="13"/>
      <c r="E22" s="13"/>
      <c r="F22" s="13">
        <v>40</v>
      </c>
    </row>
    <row r="23" spans="1:6">
      <c r="A23" s="12" t="s">
        <v>8356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>
      <c r="A24" s="12" t="s">
        <v>8340</v>
      </c>
      <c r="B24" s="13"/>
      <c r="C24" s="13">
        <v>20</v>
      </c>
      <c r="D24" s="13"/>
      <c r="E24" s="13"/>
      <c r="F24" s="13">
        <v>20</v>
      </c>
    </row>
    <row r="25" spans="1:6">
      <c r="A25" s="12" t="s">
        <v>8320</v>
      </c>
      <c r="B25" s="13"/>
      <c r="C25" s="13"/>
      <c r="D25" s="13"/>
      <c r="E25" s="13">
        <v>60</v>
      </c>
      <c r="F25" s="13">
        <v>60</v>
      </c>
    </row>
    <row r="26" spans="1:6">
      <c r="A26" s="12" t="s">
        <v>8347</v>
      </c>
      <c r="B26" s="13"/>
      <c r="C26" s="13">
        <v>20</v>
      </c>
      <c r="D26" s="13"/>
      <c r="E26" s="13"/>
      <c r="F26" s="13">
        <v>20</v>
      </c>
    </row>
    <row r="27" spans="1:6">
      <c r="A27" s="12" t="s">
        <v>8336</v>
      </c>
      <c r="B27" s="13"/>
      <c r="C27" s="13">
        <v>57</v>
      </c>
      <c r="D27" s="13"/>
      <c r="E27" s="13">
        <v>103</v>
      </c>
      <c r="F27" s="13">
        <v>160</v>
      </c>
    </row>
    <row r="28" spans="1:6">
      <c r="A28" s="12" t="s">
        <v>8342</v>
      </c>
      <c r="B28" s="13"/>
      <c r="C28" s="13">
        <v>20</v>
      </c>
      <c r="D28" s="13"/>
      <c r="E28" s="13"/>
      <c r="F28" s="13">
        <v>20</v>
      </c>
    </row>
    <row r="29" spans="1:6">
      <c r="A29" s="12" t="s">
        <v>8315</v>
      </c>
      <c r="B29" s="13"/>
      <c r="C29" s="13">
        <v>353</v>
      </c>
      <c r="D29" s="13">
        <v>19</v>
      </c>
      <c r="E29" s="13">
        <v>689</v>
      </c>
      <c r="F29" s="13">
        <v>1061</v>
      </c>
    </row>
    <row r="30" spans="1:6">
      <c r="A30" s="12" t="s">
        <v>8343</v>
      </c>
      <c r="B30" s="13"/>
      <c r="C30" s="13"/>
      <c r="D30" s="13"/>
      <c r="E30" s="13">
        <v>40</v>
      </c>
      <c r="F30" s="13">
        <v>40</v>
      </c>
    </row>
    <row r="31" spans="1:6">
      <c r="A31" s="12" t="s">
        <v>8339</v>
      </c>
      <c r="B31" s="13"/>
      <c r="C31" s="13"/>
      <c r="D31" s="13"/>
      <c r="E31" s="13">
        <v>20</v>
      </c>
      <c r="F31" s="13">
        <v>20</v>
      </c>
    </row>
    <row r="32" spans="1:6">
      <c r="A32" s="12" t="s">
        <v>8350</v>
      </c>
      <c r="B32" s="13"/>
      <c r="C32" s="13">
        <v>20</v>
      </c>
      <c r="D32" s="13"/>
      <c r="E32" s="13"/>
      <c r="F32" s="13">
        <v>20</v>
      </c>
    </row>
    <row r="33" spans="1:6">
      <c r="A33" s="12" t="s">
        <v>8323</v>
      </c>
      <c r="B33" s="13"/>
      <c r="C33" s="13"/>
      <c r="D33" s="13"/>
      <c r="E33" s="13">
        <v>260</v>
      </c>
      <c r="F33" s="13">
        <v>260</v>
      </c>
    </row>
    <row r="34" spans="1:6">
      <c r="A34" s="12" t="s">
        <v>8310</v>
      </c>
      <c r="B34" s="13">
        <v>40</v>
      </c>
      <c r="C34" s="13"/>
      <c r="D34" s="13"/>
      <c r="E34" s="13"/>
      <c r="F34" s="13">
        <v>40</v>
      </c>
    </row>
    <row r="35" spans="1:6">
      <c r="A35" s="12" t="s">
        <v>8309</v>
      </c>
      <c r="B35" s="13"/>
      <c r="C35" s="13"/>
      <c r="D35" s="13"/>
      <c r="E35" s="13">
        <v>60</v>
      </c>
      <c r="F35" s="13">
        <v>60</v>
      </c>
    </row>
    <row r="36" spans="1:6">
      <c r="A36" s="12" t="s">
        <v>8349</v>
      </c>
      <c r="B36" s="13"/>
      <c r="C36" s="13"/>
      <c r="D36" s="13">
        <v>6</v>
      </c>
      <c r="E36" s="13">
        <v>34</v>
      </c>
      <c r="F36" s="13">
        <v>40</v>
      </c>
    </row>
    <row r="37" spans="1:6">
      <c r="A37" s="12" t="s">
        <v>8352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>
      <c r="A38" s="12" t="s">
        <v>8354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>
      <c r="A39" s="12" t="s">
        <v>8348</v>
      </c>
      <c r="B39" s="13"/>
      <c r="C39" s="13"/>
      <c r="D39" s="13"/>
      <c r="E39" s="13">
        <v>80</v>
      </c>
      <c r="F39" s="13">
        <v>80</v>
      </c>
    </row>
    <row r="40" spans="1:6">
      <c r="A40" s="12" t="s">
        <v>8308</v>
      </c>
      <c r="B40" s="13"/>
      <c r="C40" s="13"/>
      <c r="D40" s="13"/>
      <c r="E40" s="13">
        <v>60</v>
      </c>
      <c r="F40" s="13">
        <v>60</v>
      </c>
    </row>
    <row r="41" spans="1:6">
      <c r="A41" s="12" t="s">
        <v>8338</v>
      </c>
      <c r="B41" s="13">
        <v>10</v>
      </c>
      <c r="C41" s="13">
        <v>47</v>
      </c>
      <c r="D41" s="13"/>
      <c r="E41" s="13"/>
      <c r="F41" s="13">
        <v>57</v>
      </c>
    </row>
    <row r="42" spans="1:6">
      <c r="A42" s="12" t="s">
        <v>8331</v>
      </c>
      <c r="B42" s="13"/>
      <c r="C42" s="13">
        <v>100</v>
      </c>
      <c r="D42" s="13"/>
      <c r="E42" s="13"/>
      <c r="F42" s="13">
        <v>100</v>
      </c>
    </row>
    <row r="43" spans="1:6">
      <c r="A43" s="12" t="s">
        <v>8318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>
      <c r="A44" s="12" t="s">
        <v>8317</v>
      </c>
      <c r="B44" s="13">
        <v>100</v>
      </c>
      <c r="C44" s="13">
        <v>60</v>
      </c>
      <c r="D44" s="13"/>
      <c r="E44" s="13"/>
      <c r="F44" s="13">
        <v>160</v>
      </c>
    </row>
    <row r="45" spans="1:6">
      <c r="A45" s="12" t="s">
        <v>8337</v>
      </c>
      <c r="B45" s="13">
        <v>20</v>
      </c>
      <c r="C45" s="13"/>
      <c r="D45" s="13"/>
      <c r="E45" s="13"/>
      <c r="F45" s="13">
        <v>20</v>
      </c>
    </row>
    <row r="46" spans="1:6">
      <c r="A46" s="12" t="s">
        <v>8359</v>
      </c>
      <c r="B46" s="13">
        <v>349</v>
      </c>
      <c r="C46" s="13">
        <v>1530</v>
      </c>
      <c r="D46" s="13">
        <v>50</v>
      </c>
      <c r="E46" s="13">
        <v>2180</v>
      </c>
      <c r="F46" s="13">
        <v>4109</v>
      </c>
    </row>
  </sheetData>
  <conditionalFormatting sqref="A5:A20000">
    <cfRule type="expression" dxfId="4" priority="1">
      <formula>$F5=0</formula>
    </cfRule>
    <cfRule type="expression" dxfId="3" priority="2">
      <formula>$B5=$F5</formula>
    </cfRule>
    <cfRule type="expression" dxfId="2" priority="3">
      <formula>$D5=$F5</formula>
    </cfRule>
    <cfRule type="expression" dxfId="1" priority="4">
      <formula>$E5=$F5</formula>
    </cfRule>
    <cfRule type="expression" dxfId="0" priority="5">
      <formula>$C5=$F5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1F2F9-C132-6347-9FE4-0B3A5749AD2A}">
  <dimension ref="A1:F17"/>
  <sheetViews>
    <sheetView zoomScale="135" zoomScaleNormal="110" workbookViewId="0">
      <pane ySplit="4" topLeftCell="A5" activePane="bottomLeft" state="frozen"/>
      <selection pane="bottomLeft" activeCell="A5" sqref="A5:F5"/>
      <pivotSelection pane="topRight" showHeader="1" extendable="1" axis="axisRow" max="13" activeRow="4" previousRow="4" click="1" r:id="rId1">
        <pivotArea dataOnly="0" fieldPosition="0">
          <references count="1">
            <reference field="18" count="1">
              <x v="1"/>
            </reference>
          </references>
        </pivotArea>
      </pivotSelection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" bestFit="1" customWidth="1"/>
    <col min="8" max="8" width="6.5" bestFit="1" customWidth="1"/>
    <col min="9" max="9" width="4.1640625" bestFit="1" customWidth="1"/>
    <col min="10" max="10" width="9" bestFit="1" customWidth="1"/>
    <col min="11" max="11" width="9.33203125" bestFit="1" customWidth="1"/>
    <col min="12" max="12" width="7" bestFit="1" customWidth="1"/>
    <col min="13" max="13" width="4" bestFit="1" customWidth="1"/>
    <col min="14" max="14" width="4.33203125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7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7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7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7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7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7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7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</cols>
  <sheetData>
    <row r="1" spans="1:6">
      <c r="A1" s="11" t="s">
        <v>8362</v>
      </c>
      <c r="B1" t="s">
        <v>8314</v>
      </c>
    </row>
    <row r="3" spans="1:6">
      <c r="A3" s="11" t="s">
        <v>8361</v>
      </c>
      <c r="B3" s="11" t="s">
        <v>8358</v>
      </c>
    </row>
    <row r="4" spans="1:6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>
      <c r="A17" s="15" t="s">
        <v>8359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E9321-EDA7-CB48-A1B3-A81325A112A3}">
  <dimension ref="A1:F6"/>
  <sheetViews>
    <sheetView topLeftCell="B1" workbookViewId="0">
      <pane ySplit="1" topLeftCell="A2" activePane="bottomLeft" state="frozen"/>
      <selection pane="bottomLeft" activeCell="A2" sqref="A2"/>
    </sheetView>
  </sheetViews>
  <sheetFormatPr baseColWidth="10" defaultRowHeight="15"/>
  <cols>
    <col min="1" max="1" width="28.6640625" bestFit="1" customWidth="1"/>
    <col min="2" max="2" width="109" bestFit="1" customWidth="1"/>
    <col min="3" max="4" width="10.83203125" style="8"/>
    <col min="5" max="5" width="14.5" bestFit="1" customWidth="1"/>
    <col min="6" max="6" width="15.1640625" bestFit="1" customWidth="1"/>
  </cols>
  <sheetData>
    <row r="1" spans="1:6">
      <c r="A1" s="66" t="s">
        <v>8381</v>
      </c>
      <c r="B1" s="66" t="s">
        <v>8382</v>
      </c>
      <c r="C1" s="67" t="s">
        <v>8383</v>
      </c>
      <c r="D1" s="67" t="s">
        <v>8384</v>
      </c>
      <c r="E1" s="66" t="s">
        <v>8306</v>
      </c>
      <c r="F1" s="66" t="s">
        <v>8386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3">
        <f>VLOOKUP(A2, Kickstarter!B:D, 3, FALSE)</f>
        <v>2000</v>
      </c>
      <c r="D2" s="8">
        <f>VLOOKUP(A2, Kickstarter!B:F,4, FALSE)</f>
        <v>2020</v>
      </c>
      <c r="E2" s="8">
        <f>VLOOKUP(A2, Kickstarter!B:P,15, FALSE)</f>
        <v>51.79</v>
      </c>
      <c r="F2">
        <f>VLOOKUP(A2, Kickstarter!B:L,11, FALSE)</f>
        <v>39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3">
        <f>VLOOKUP(A3, Kickstarter!B:D, 3, FALSE)</f>
        <v>2000</v>
      </c>
      <c r="D3" s="8">
        <f>VLOOKUP(A3, Kickstarter!B:E,4, FALSE)</f>
        <v>2020</v>
      </c>
      <c r="E3" s="8">
        <f>VLOOKUP(A3, Kickstarter!B:P,15, FALSE)</f>
        <v>36.07</v>
      </c>
      <c r="F3">
        <f>VLOOKUP(A3, Kickstarter!B:L,11, FALSE)</f>
        <v>56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3">
        <f>VLOOKUP(A4, Kickstarter!B:D, 3, FALSE)</f>
        <v>1500</v>
      </c>
      <c r="D4" s="8">
        <f>VLOOKUP(A4, Kickstarter!B:E,4, FALSE)</f>
        <v>2576</v>
      </c>
      <c r="E4" s="8">
        <f>VLOOKUP(A4, Kickstarter!B:P,15, FALSE)</f>
        <v>33.03</v>
      </c>
      <c r="F4">
        <f>VLOOKUP(A4, Kickstarter!B:L,11, FALSE)</f>
        <v>78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3">
        <f>VLOOKUP(A5, Kickstarter!B:D, 3, FALSE)</f>
        <v>1000</v>
      </c>
      <c r="D5" s="8">
        <f>VLOOKUP(A5, Kickstarter!B:E,4, FALSE)</f>
        <v>1168</v>
      </c>
      <c r="E5" s="8">
        <f>VLOOKUP(A5, Kickstarter!B:P,15, FALSE)</f>
        <v>44.92</v>
      </c>
      <c r="F5">
        <f>VLOOKUP(A5, Kickstarter!B:L,11, FALSE)</f>
        <v>26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3">
        <f>VLOOKUP(A6, Kickstarter!B:D, 3, FALSE)</f>
        <v>4000</v>
      </c>
      <c r="D6" s="8">
        <f>VLOOKUP(A6, Kickstarter!B:E,4, FALSE)</f>
        <v>4137</v>
      </c>
      <c r="E6" s="8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48756-7C0E-DB4C-B953-6764C892216D}">
  <dimension ref="A1:L18"/>
  <sheetViews>
    <sheetView zoomScale="106" zoomScaleNormal="108" workbookViewId="0">
      <selection activeCell="H28" sqref="H28"/>
    </sheetView>
  </sheetViews>
  <sheetFormatPr baseColWidth="10" defaultRowHeight="15"/>
  <cols>
    <col min="1" max="1" width="16" bestFit="1" customWidth="1"/>
    <col min="2" max="2" width="8.83203125" style="13" bestFit="1" customWidth="1"/>
    <col min="3" max="3" width="9.1640625" bestFit="1" customWidth="1"/>
    <col min="4" max="4" width="6.83203125" bestFit="1" customWidth="1"/>
    <col min="5" max="5" width="11.1640625" bestFit="1" customWidth="1"/>
    <col min="6" max="6" width="9.1640625" bestFit="1" customWidth="1"/>
    <col min="7" max="7" width="12.5" customWidth="1"/>
    <col min="8" max="8" width="13" customWidth="1"/>
    <col min="9" max="9" width="11.5" customWidth="1"/>
  </cols>
  <sheetData>
    <row r="1" spans="1:12" ht="48">
      <c r="A1" t="s">
        <v>8383</v>
      </c>
      <c r="B1" s="81" t="s">
        <v>8390</v>
      </c>
      <c r="C1" s="73" t="s">
        <v>8404</v>
      </c>
      <c r="D1" s="74" t="s">
        <v>8408</v>
      </c>
      <c r="E1" s="74" t="s">
        <v>8409</v>
      </c>
      <c r="F1" s="75" t="s">
        <v>8410</v>
      </c>
      <c r="G1" s="3" t="s">
        <v>8405</v>
      </c>
      <c r="H1" s="3" t="s">
        <v>8406</v>
      </c>
      <c r="I1" s="69" t="s">
        <v>8412</v>
      </c>
      <c r="J1" s="80" t="s">
        <v>8416</v>
      </c>
      <c r="K1" s="73" t="s">
        <v>8417</v>
      </c>
      <c r="L1" s="75" t="s">
        <v>8418</v>
      </c>
    </row>
    <row r="2" spans="1:12">
      <c r="A2" t="s">
        <v>8392</v>
      </c>
      <c r="B2" s="13">
        <f>COUNTIFS(Kickstarter!$R$2:$R$4115,"plays",Kickstarter!$F$2:$F$4115,"successful",Kickstarter!$D$2:$D$4115,"&lt;1000")</f>
        <v>141</v>
      </c>
      <c r="C2">
        <f>COUNTIFS(Kickstarter!$R$2:$R$4115,"plays",Kickstarter!$F$2:$F$4115,"failed",Kickstarter!$D$2:D4115,"&lt;1000")</f>
        <v>45</v>
      </c>
      <c r="D2" s="68">
        <f>COUNTIFS(Kickstarter!$R$2:$R$4115,"plays",Kickstarter!$F$2:$F$4115,"live",Kickstarter!$D$2:$D$4115,"&lt;1000", Kickstarter!$V$2:$V$4115, "funded")</f>
        <v>2</v>
      </c>
      <c r="E2">
        <f>COUNTIFS(Kickstarter!$R$2:$R$4115,"plays",Kickstarter!$F$2:$F$4115,"live",Kickstarter!$D$2:$D$4115,"&lt;1000", Kickstarter!$V$2:$V$4115, "underfunded")</f>
        <v>4</v>
      </c>
      <c r="F2">
        <f>COUNTIFS(Kickstarter!R2:R4115,"plays",Kickstarter!F2:F4115,"canceled",Kickstarter!D2:D4115,"&lt;1000")</f>
        <v>0</v>
      </c>
      <c r="G2">
        <f>B2+C2+F2</f>
        <v>186</v>
      </c>
      <c r="H2">
        <f>B2+C2+D2+E2+F2</f>
        <v>192</v>
      </c>
      <c r="I2">
        <f>COUNTIFS(Kickstarter!$R$2:$R$4115,"plays",Kickstarter!$D$2:$D$4115,"&lt;1000")</f>
        <v>192</v>
      </c>
      <c r="J2" s="78">
        <f>(B2+D2)/I2</f>
        <v>0.74479166666666663</v>
      </c>
      <c r="K2" s="77">
        <f>(C2+E2)/I2</f>
        <v>0.25520833333333331</v>
      </c>
      <c r="L2">
        <f>F2/I2</f>
        <v>0</v>
      </c>
    </row>
    <row r="3" spans="1:12">
      <c r="A3" t="s">
        <v>8393</v>
      </c>
      <c r="B3" s="13">
        <f>COUNTIFS(Kickstarter!$R$2:$R$4115,"plays",Kickstarter!$F$2:$F$4115,"successful",Kickstarter!$D$2:$D$4115,"&gt;=1000", Kickstarter!$D$2:$D$4115,"&lt;=4999")</f>
        <v>388</v>
      </c>
      <c r="C3" s="13">
        <f>COUNTIFS(Kickstarter!$R$2:$R$4115,"plays",Kickstarter!$F$2:$F$4115,"failed",Kickstarter!$D$2:$D$4115,"&gt;=1000", Kickstarter!$D$2:$D$4115,"&lt;=4999")</f>
        <v>146</v>
      </c>
      <c r="D3" s="68">
        <f>COUNTIFS(Kickstarter!$R$2:$R$4115,"plays",Kickstarter!$F$2:$F$4115,"live",Kickstarter!$D$2:$D$4115,"&gt;=1000", Kickstarter!$D$2:$D$4115,"&lt;=4999", Kickstarter!$V$2:$V$4115, "funded")</f>
        <v>0</v>
      </c>
      <c r="E3">
        <f>COUNTIFS(Kickstarter!$R$2:$R$4115,"plays",Kickstarter!$F$2:$F$4115,"live",Kickstarter!$D$2:$D$4115,"&gt;=1000", Kickstarter!$D$2:$D$4115,"&lt;=4999", Kickstarter!$V$2:$V$4115, "underfunded")</f>
        <v>5</v>
      </c>
      <c r="F3">
        <f>COUNTIFS(Kickstarter!$R$2:$R$4115,"plays",Kickstarter!$F$2:$F$4115,"canceled",Kickstarter!$D$2:$D$4115,"&gt;=1000", Kickstarter!$D$2:$D$4115,"&lt;=4999")</f>
        <v>0</v>
      </c>
      <c r="G3">
        <f t="shared" ref="G3:G13" si="0">B3+C3+F3</f>
        <v>534</v>
      </c>
      <c r="H3">
        <f t="shared" ref="H3:H13" si="1">B3+C3+D3+E3+F3</f>
        <v>539</v>
      </c>
      <c r="I3">
        <f>COUNTIFS(Kickstarter!$R$2:$R$4115,"plays",Kickstarter!$D$2:$D$4115,"&gt;=1000", Kickstarter!$D$2:$D$4115,"&lt;=4999")</f>
        <v>539</v>
      </c>
      <c r="J3" s="78">
        <f t="shared" ref="J3:J13" si="2">(B3+D3)/I3</f>
        <v>0.71985157699443414</v>
      </c>
      <c r="K3" s="77">
        <f t="shared" ref="K3:K13" si="3">(C3+E3)/I3</f>
        <v>0.28014842300556586</v>
      </c>
      <c r="L3">
        <f t="shared" ref="L3:L13" si="4">F3/I3</f>
        <v>0</v>
      </c>
    </row>
    <row r="4" spans="1:12">
      <c r="A4" t="s">
        <v>8394</v>
      </c>
      <c r="B4" s="13">
        <f>COUNTIFS(Kickstarter!$R$2:$R$4115,"plays",Kickstarter!$F$2:$F$4115,"successful",Kickstarter!$D$2:$D$4115,"&gt;=5000", Kickstarter!$D$2:$D$4115,"&lt;=9999")</f>
        <v>93</v>
      </c>
      <c r="C4" s="13">
        <f>COUNTIFS(Kickstarter!$R$2:$R$4115,"plays",Kickstarter!$F$2:$F$4115,"failed",Kickstarter!$D$2:$D$4115,"&gt;=5000", Kickstarter!$D$2:$D$4115,"&lt;=9999")</f>
        <v>76</v>
      </c>
      <c r="D4" s="68">
        <f>COUNTIFS(Kickstarter!$R$2:$R$4115,"plays",Kickstarter!$F$2:$F$4115,"live",Kickstarter!$D$2:$D$4115,"&gt;=5000", Kickstarter!$D$2:$D$4115,"&lt;=9999", Kickstarter!$V$2:$V$4115, "funded")</f>
        <v>0</v>
      </c>
      <c r="E4">
        <f>COUNTIFS(Kickstarter!$R$2:$R$4115,"plays",Kickstarter!$F$2:$F$4115,"live",Kickstarter!$D$2:$D$4115,"&gt;=5000", Kickstarter!$D$2:$D$4115,"&lt;=9999", Kickstarter!$V$2:$V$4115, "underfunded")</f>
        <v>0</v>
      </c>
      <c r="F4">
        <f>COUNTIFS(Kickstarter!$R$2:$R$4115,"plays",Kickstarter!$F$2:$F$4115,"canceled",Kickstarter!$D$2:$D$4115,"&gt;=5000", Kickstarter!$D$2:$D$4115,"&lt;=9999")</f>
        <v>0</v>
      </c>
      <c r="G4">
        <f t="shared" si="0"/>
        <v>169</v>
      </c>
      <c r="H4">
        <f t="shared" si="1"/>
        <v>169</v>
      </c>
      <c r="I4">
        <f>COUNTIFS(Kickstarter!$R$2:$R$4115,"plays",Kickstarter!$D$2:$D$4115,"&gt;=5000", Kickstarter!$D$2:$D$4115,"&lt;=9999")</f>
        <v>169</v>
      </c>
      <c r="J4" s="78">
        <f t="shared" si="2"/>
        <v>0.55029585798816572</v>
      </c>
      <c r="K4" s="77">
        <f t="shared" si="3"/>
        <v>0.44970414201183434</v>
      </c>
      <c r="L4">
        <f t="shared" si="4"/>
        <v>0</v>
      </c>
    </row>
    <row r="5" spans="1:12">
      <c r="A5" t="s">
        <v>8395</v>
      </c>
      <c r="B5" s="13">
        <f>COUNTIFS(Kickstarter!$R$2:$R$4115,"plays",Kickstarter!$F$2:$F$4115,"successful",Kickstarter!$D$2:$D$4115,"&gt;=10000", Kickstarter!$D$2:$D$4115,"&lt;=14999")</f>
        <v>39</v>
      </c>
      <c r="C5" s="13">
        <f>COUNTIFS(Kickstarter!$R$2:$R$4115,"plays",Kickstarter!$F$2:$F$4115,"failed",Kickstarter!$D$2:$D$4115,"&gt;=10000", Kickstarter!$D$2:$D$4115,"&lt;=14999")</f>
        <v>33</v>
      </c>
      <c r="D5" s="68">
        <f>COUNTIFS(Kickstarter!$R$2:$R$4115,"plays",Kickstarter!$F$2:$F$4115,"live",Kickstarter!$D$2:$D$4115,"&gt;=10000", Kickstarter!$D$2:$D$4115,"&lt;=14999", Kickstarter!$V$2:$V$4115, "funded")</f>
        <v>0</v>
      </c>
      <c r="E5">
        <f>COUNTIFS(Kickstarter!$R$2:$R$4115,"plays",Kickstarter!$F$2:$F$4115,"live",Kickstarter!$D$2:$D$4115,"&gt;=10000", Kickstarter!$D$2:$D$4115,"&lt;=14999", Kickstarter!$V$2:$V$4115, "underfunded")</f>
        <v>3</v>
      </c>
      <c r="F5">
        <f>COUNTIFS(Kickstarter!$R$2:$R$4115,"plays",Kickstarter!$F$2:$F$4115,"canceled",Kickstarter!$D$2:$D$4115,"&gt;=10000", Kickstarter!$D$2:$D$4115,"&lt;=14999")</f>
        <v>0</v>
      </c>
      <c r="G5">
        <f t="shared" si="0"/>
        <v>72</v>
      </c>
      <c r="H5">
        <f t="shared" si="1"/>
        <v>75</v>
      </c>
      <c r="I5">
        <f>COUNTIFS(Kickstarter!$R$2:$R$4115,"plays",Kickstarter!$D$2:$D$4115,"&gt;=10000", Kickstarter!$D$2:$D$4115,"&lt;=14999")</f>
        <v>75</v>
      </c>
      <c r="J5" s="78">
        <f t="shared" si="2"/>
        <v>0.52</v>
      </c>
      <c r="K5" s="77">
        <f t="shared" si="3"/>
        <v>0.48</v>
      </c>
      <c r="L5">
        <f t="shared" si="4"/>
        <v>0</v>
      </c>
    </row>
    <row r="6" spans="1:12">
      <c r="A6" t="s">
        <v>8396</v>
      </c>
      <c r="B6" s="13">
        <f>COUNTIFS(Kickstarter!$R$2:$R$4115,"plays",Kickstarter!$F$2:$F$4115,"successful",Kickstarter!$D$2:$D$4115,"&gt;=15000", Kickstarter!$D$2:$D$4115,"&lt;=19999")</f>
        <v>12</v>
      </c>
      <c r="C6" s="13">
        <f>COUNTIFS(Kickstarter!$R$2:$R$4115,"plays",Kickstarter!$F$2:$F$4115,"failed",Kickstarter!$D$2:$D$4115,"&gt;=15000", Kickstarter!$D$2:$D$4115,"&lt;=19999")</f>
        <v>12</v>
      </c>
      <c r="D6" s="68">
        <f>COUNTIFS(Kickstarter!$R$2:$R$4115,"plays",Kickstarter!$F$2:$F$4115,"live",Kickstarter!$D$2:$D$4115,"&gt;=15000", Kickstarter!$D$2:$D$4115,"&lt;=19999", Kickstarter!$V$2:$V$4115, "funded")</f>
        <v>1</v>
      </c>
      <c r="E6">
        <f>COUNTIFS(Kickstarter!$R$2:$R$4115,"plays",Kickstarter!$F$2:$F$4115,"live",Kickstarter!$D$2:$D$4115,"&gt;=15000", Kickstarter!$D$2:$D$4115,"&lt;=19999", Kickstarter!$V$2:$V$4115, "underfunded")</f>
        <v>0</v>
      </c>
      <c r="F6">
        <f>COUNTIFS(Kickstarter!$R$2:$R$4115,"plays",Kickstarter!$F$2:$F$4115,"canceled",Kickstarter!$D$2:$D$4115,"&gt;=15000", Kickstarter!$D$2:$D$4115,"&lt;=19999")</f>
        <v>0</v>
      </c>
      <c r="G6">
        <f t="shared" si="0"/>
        <v>24</v>
      </c>
      <c r="H6">
        <f t="shared" si="1"/>
        <v>25</v>
      </c>
      <c r="I6">
        <f>COUNTIFS(Kickstarter!$R$2:$R$4115,"plays",Kickstarter!$D$2:$D$4115,"&gt;=15000", Kickstarter!$D$2:$D$4115,"&lt;=19999")</f>
        <v>25</v>
      </c>
      <c r="J6" s="78">
        <f t="shared" si="2"/>
        <v>0.52</v>
      </c>
      <c r="K6" s="77">
        <f t="shared" si="3"/>
        <v>0.48</v>
      </c>
      <c r="L6">
        <f t="shared" si="4"/>
        <v>0</v>
      </c>
    </row>
    <row r="7" spans="1:12">
      <c r="A7" t="s">
        <v>8397</v>
      </c>
      <c r="B7" s="13">
        <f>COUNTIFS(Kickstarter!$R$2:$R$4115,"plays",Kickstarter!$F$2:$F$4115,"successful",Kickstarter!$D$2:$D$4115,"&gt;=20000", Kickstarter!$D$2:$D$4115,"&lt;=24999")</f>
        <v>9</v>
      </c>
      <c r="C7" s="13">
        <f>COUNTIFS(Kickstarter!$R$2:$R$4115,"plays",Kickstarter!$F$2:$F$4115,"failed",Kickstarter!$D$2:$D$4115,"&gt;=20000", Kickstarter!$D$2:$D$4115,"&lt;=24999")</f>
        <v>11</v>
      </c>
      <c r="D7" s="68">
        <f>COUNTIFS(Kickstarter!$R$2:$R$4115,"plays",Kickstarter!$F$2:$F$4115,"live",Kickstarter!$D$2:$D$4115,"&gt;=20000", Kickstarter!$D$2:$D$4115,"&lt;=24999", Kickstarter!$V$2:$V$4115, "funded")</f>
        <v>0</v>
      </c>
      <c r="E7">
        <f>COUNTIFS(Kickstarter!$R$2:$R$4115,"plays",Kickstarter!$F$2:$F$4115,"live",Kickstarter!$D$2:$D$4115,"&gt;=20000", Kickstarter!$D$2:$D$4115,"&lt;=24999", Kickstarter!$V$2:$V$4115, "underfunded")</f>
        <v>0</v>
      </c>
      <c r="F7">
        <f>COUNTIFS(Kickstarter!$R$2:$R$4115,"plays",Kickstarter!$F$2:$F$4115,"canceled",Kickstarter!$D$2:$D$4115,"&gt;=20000", Kickstarter!$D$2:$D$4115,"&lt;=24999")</f>
        <v>0</v>
      </c>
      <c r="G7">
        <f t="shared" si="0"/>
        <v>20</v>
      </c>
      <c r="H7">
        <f t="shared" si="1"/>
        <v>20</v>
      </c>
      <c r="I7">
        <f>COUNTIFS(Kickstarter!$R$2:$R$4115,"plays",Kickstarter!$D$2:$D$4115,"&gt;=20000", Kickstarter!$D$2:$D$4115,"&lt;=24999")</f>
        <v>20</v>
      </c>
      <c r="J7" s="78">
        <f t="shared" si="2"/>
        <v>0.45</v>
      </c>
      <c r="K7" s="77">
        <f t="shared" si="3"/>
        <v>0.55000000000000004</v>
      </c>
      <c r="L7">
        <f t="shared" si="4"/>
        <v>0</v>
      </c>
    </row>
    <row r="8" spans="1:12">
      <c r="A8" t="s">
        <v>8403</v>
      </c>
      <c r="B8" s="13">
        <f>COUNTIFS(Kickstarter!$R$2:$R$4115,"plays",Kickstarter!$F$2:$F$4115,"successful",Kickstarter!$D$2:$D$4115,"&gt;=25000", Kickstarter!$D$2:$D$4115,"&lt;=29999")</f>
        <v>1</v>
      </c>
      <c r="C8" s="13">
        <f>COUNTIFS(Kickstarter!$R$2:$R$4115,"plays",Kickstarter!$F$2:$F$4115,"failed",Kickstarter!$D$2:$D$4115,"&gt;=25000", Kickstarter!$D$2:$D$4115,"&lt;=29999")</f>
        <v>4</v>
      </c>
      <c r="D8" s="68">
        <f>COUNTIFS(Kickstarter!$R$2:$R$4115,"plays",Kickstarter!$F$2:$F$4115,"live",Kickstarter!$D$2:$D$4115,"&gt;=25000", Kickstarter!$D$2:$D$4115,"&lt;=29999", Kickstarter!$V$2:$V$4115, "funded")</f>
        <v>0</v>
      </c>
      <c r="E8">
        <f>COUNTIFS(Kickstarter!$R$2:$R$4115,"plays",Kickstarter!$F$2:$F$4115,"live",Kickstarter!$D$2:$D$4115,"&gt;=25000", Kickstarter!$D$2:$D$4115,"&lt;=29999", Kickstarter!$V$2:$V$4115, "underfunded")</f>
        <v>1</v>
      </c>
      <c r="F8">
        <f>COUNTIFS(Kickstarter!$R$2:$R$4115,"plays",Kickstarter!$F$2:$F$4115,"canceled",Kickstarter!$D$2:$D$4115,"&gt;=25000", Kickstarter!$D$2:$D$4115,"&lt;=29999")</f>
        <v>0</v>
      </c>
      <c r="G8">
        <f t="shared" si="0"/>
        <v>5</v>
      </c>
      <c r="H8">
        <f t="shared" si="1"/>
        <v>6</v>
      </c>
      <c r="I8">
        <f>COUNTIFS(Kickstarter!$R$2:$R$4115,"plays",Kickstarter!$D$2:$D$4115,"&gt;=25000", Kickstarter!$D$2:$D$4115,"&lt;=29999")</f>
        <v>6</v>
      </c>
      <c r="J8" s="78">
        <f t="shared" si="2"/>
        <v>0.16666666666666666</v>
      </c>
      <c r="K8" s="77">
        <f t="shared" si="3"/>
        <v>0.83333333333333337</v>
      </c>
      <c r="L8">
        <f t="shared" si="4"/>
        <v>0</v>
      </c>
    </row>
    <row r="9" spans="1:12">
      <c r="A9" t="s">
        <v>8398</v>
      </c>
      <c r="B9" s="13">
        <f>COUNTIFS(Kickstarter!$R$2:$R$4115,"plays",Kickstarter!$F$2:$F$4115,"successful",Kickstarter!$D$2:$D$4115,"&gt;=30000", Kickstarter!$D$2:$D$4115,"&lt;=34999")</f>
        <v>3</v>
      </c>
      <c r="C9" s="13">
        <f>COUNTIFS(Kickstarter!$R$2:$R$4115,"plays",Kickstarter!$F$2:$F$4115,"failed",Kickstarter!$D$2:$D$4115,"&gt;=30000", Kickstarter!$D$2:$D$4115,"&lt;=34999")</f>
        <v>8</v>
      </c>
      <c r="D9" s="68">
        <f>COUNTIFS(Kickstarter!$R$2:$R$4115,"plays",Kickstarter!$F$2:$F$4115,"live",Kickstarter!$D$2:$D$4115,"&gt;=30000", Kickstarter!$D$2:$D$4115,"&lt;=34999", Kickstarter!$V$2:$V$4115, "funded")</f>
        <v>0</v>
      </c>
      <c r="E9">
        <f>COUNTIFS(Kickstarter!$R$2:$R$4115,"plays",Kickstarter!$F$2:$F$4115,"live",Kickstarter!$D$2:$D$4115,"&gt;=30000", Kickstarter!$D$2:$D$4115,"&lt;=34999", Kickstarter!$V$2:$V$4115, "underfunded")</f>
        <v>1</v>
      </c>
      <c r="F9">
        <f>COUNTIFS(Kickstarter!$R$2:$R$4115,"plays",Kickstarter!$F$2:$F$4115,"canceled",Kickstarter!$D$2:$D$4115,"&gt;=30000", Kickstarter!$D$2:$D$4115,"&lt;=34999")</f>
        <v>0</v>
      </c>
      <c r="G9">
        <f t="shared" si="0"/>
        <v>11</v>
      </c>
      <c r="H9">
        <f t="shared" si="1"/>
        <v>12</v>
      </c>
      <c r="I9">
        <f>COUNTIFS(Kickstarter!$R$2:$R$4115,"plays",Kickstarter!$D$2:$D$4115,"&gt;=30000", Kickstarter!$D$2:$D$4115,"&lt;=34999")</f>
        <v>12</v>
      </c>
      <c r="J9" s="78">
        <f t="shared" si="2"/>
        <v>0.25</v>
      </c>
      <c r="K9" s="77">
        <f t="shared" si="3"/>
        <v>0.75</v>
      </c>
      <c r="L9">
        <f t="shared" si="4"/>
        <v>0</v>
      </c>
    </row>
    <row r="10" spans="1:12">
      <c r="A10" t="s">
        <v>8399</v>
      </c>
      <c r="B10" s="13">
        <f>COUNTIFS(Kickstarter!$R$2:$R$4115,"plays",Kickstarter!$F$2:$F$4115,"successful",Kickstarter!$D$2:$D$4115,"&gt;=35000", Kickstarter!$D$2:$D$4115,"&lt;=39999")</f>
        <v>4</v>
      </c>
      <c r="C10" s="13">
        <f>COUNTIFS(Kickstarter!$R$2:$R$4115,"plays",Kickstarter!$F$2:$F$4115,"failed",Kickstarter!$D$2:$D$4115,"&gt;=35000", Kickstarter!$D$2:$D$4115,"&lt;=39999")</f>
        <v>2</v>
      </c>
      <c r="D10" s="68">
        <f>COUNTIFS(Kickstarter!$R$2:$R$4115,"plays",Kickstarter!$F$2:$F$4115,"live",Kickstarter!$D$2:$D$4115,"&gt;=35000", Kickstarter!$D$2:$D$4115,"&lt;=39999", Kickstarter!$V$2:$V$4115, "funded")</f>
        <v>0</v>
      </c>
      <c r="E10">
        <f>COUNTIFS(Kickstarter!$R$2:$R$4115,"plays",Kickstarter!$F$2:$F$4115,"live",Kickstarter!$D$2:$D$4115,"&gt;=35000", Kickstarter!$D$2:$D$4115,"&lt;=39999", Kickstarter!$V$2:$V$4115, "underfunded")</f>
        <v>0</v>
      </c>
      <c r="F10">
        <f>COUNTIFS(Kickstarter!$R$2:$R$4115,"plays",Kickstarter!$F$2:$F$4115,"canceled",Kickstarter!$D$2:$D$4115,"&gt;=35000", Kickstarter!$D$2:$D$4115,"&lt;=39999")</f>
        <v>0</v>
      </c>
      <c r="G10">
        <f t="shared" si="0"/>
        <v>6</v>
      </c>
      <c r="H10">
        <f t="shared" si="1"/>
        <v>6</v>
      </c>
      <c r="I10">
        <f>COUNTIFS(Kickstarter!$R$2:$R$4115,"plays",Kickstarter!$D$2:$D$4115,"&gt;=35000", Kickstarter!$D$2:$D$4115,"&lt;=39999")</f>
        <v>6</v>
      </c>
      <c r="J10" s="78">
        <f t="shared" si="2"/>
        <v>0.66666666666666663</v>
      </c>
      <c r="K10" s="77">
        <f t="shared" si="3"/>
        <v>0.33333333333333331</v>
      </c>
      <c r="L10">
        <f t="shared" si="4"/>
        <v>0</v>
      </c>
    </row>
    <row r="11" spans="1:12">
      <c r="A11" t="s">
        <v>8400</v>
      </c>
      <c r="B11" s="13">
        <f>COUNTIFS(Kickstarter!$R$2:$R$4115,"plays",Kickstarter!$F$2:$F$4115,"successful",Kickstarter!$D$2:$D$4115,"&gt;=40000", Kickstarter!$D$2:$D$4115,"&lt;=44999")</f>
        <v>2</v>
      </c>
      <c r="C11" s="13">
        <f>COUNTIFS(Kickstarter!$R$2:$R$4115,"plays",Kickstarter!$F$2:$F$4115,"failed",Kickstarter!$D$2:$D$4115,"&gt;=40000", Kickstarter!$D$2:$D$4115,"&lt;=44999")</f>
        <v>1</v>
      </c>
      <c r="D11" s="68">
        <f>COUNTIFS(Kickstarter!$R$2:$R$4115,"plays",Kickstarter!$F$2:$F$4115,"live",Kickstarter!$D$2:$D$4115,"&gt;=40000", Kickstarter!$D$2:$D$4115,"&lt;=44999", Kickstarter!$V$2:$V$4115, "funded")</f>
        <v>0</v>
      </c>
      <c r="E11">
        <f>COUNTIFS(Kickstarter!$R$2:$R$4115,"plays",Kickstarter!$F$2:$F$4115,"live",Kickstarter!$D$2:$D$4115,"&gt;=40000", Kickstarter!$D$2:$D$4115,"&lt;=44999", Kickstarter!$V$2:$V$4115, "underfunded")</f>
        <v>0</v>
      </c>
      <c r="F11">
        <f>COUNTIFS(Kickstarter!$R$2:$R$4115,"plays",Kickstarter!$F$2:$F$4115,"canceled",Kickstarter!$D$2:$D$4115,"&gt;=40000", Kickstarter!$D$2:$D$4115,"&lt;=44999")</f>
        <v>0</v>
      </c>
      <c r="G11">
        <f t="shared" si="0"/>
        <v>3</v>
      </c>
      <c r="H11">
        <f t="shared" si="1"/>
        <v>3</v>
      </c>
      <c r="I11">
        <f>COUNTIFS(Kickstarter!$R$2:$R$4115,"plays",Kickstarter!$D$2:$D$4115,"&gt;=40000", Kickstarter!$D$2:$D$4115,"&lt;=44999")</f>
        <v>3</v>
      </c>
      <c r="J11" s="78">
        <f t="shared" si="2"/>
        <v>0.66666666666666663</v>
      </c>
      <c r="K11" s="77">
        <f t="shared" si="3"/>
        <v>0.33333333333333331</v>
      </c>
      <c r="L11">
        <f t="shared" si="4"/>
        <v>0</v>
      </c>
    </row>
    <row r="12" spans="1:12">
      <c r="A12" t="s">
        <v>8401</v>
      </c>
      <c r="B12" s="13">
        <f>COUNTIFS(Kickstarter!$R$2:$R$4115,"plays",Kickstarter!$F$2:$F$4115,"successful",Kickstarter!$D$2:$D$4115,"&gt;=45000", Kickstarter!$D$2:$D$4115,"&lt;=49999")</f>
        <v>0</v>
      </c>
      <c r="C12" s="13">
        <f>COUNTIFS(Kickstarter!$R$2:$R$4115,"plays",Kickstarter!$F$2:$F$4115,"failed",Kickstarter!$D$2:$D$4115,"&gt;=45000", Kickstarter!$D$2:$D$4115,"&lt;=49999")</f>
        <v>1</v>
      </c>
      <c r="D12" s="68">
        <f>COUNTIFS(Kickstarter!$R$2:$R$4115,"plays",Kickstarter!$F$2:$F$4115,"live",Kickstarter!$D$2:$D$4115,"&gt;=45000", Kickstarter!$D$2:$D$4115,"&lt;=49999", Kickstarter!$V$2:$V$4115, "funded")</f>
        <v>0</v>
      </c>
      <c r="E12">
        <f>COUNTIFS(Kickstarter!$R$2:$R$4115,"plays",Kickstarter!$F$2:$F$4115,"live",Kickstarter!$D$2:$D$4115,"&gt;=45000", Kickstarter!$D$2:$D$4115,"&lt;=49999", Kickstarter!$V$2:$V$4115, "underfunded")</f>
        <v>0</v>
      </c>
      <c r="F12">
        <f>COUNTIFS(Kickstarter!$R$2:$R$4115,"plays",Kickstarter!$F$2:$F$4115,"canceled",Kickstarter!$D$2:$D$4115,"&gt;=45000", Kickstarter!$D$2:$D$4115,"&lt;=49999")</f>
        <v>0</v>
      </c>
      <c r="G12">
        <f t="shared" si="0"/>
        <v>1</v>
      </c>
      <c r="H12">
        <f t="shared" si="1"/>
        <v>1</v>
      </c>
      <c r="I12">
        <f>COUNTIFS(Kickstarter!$R$2:$R$4115,"plays",Kickstarter!$D$2:$D$4115,"&gt;=45000", Kickstarter!$D$2:$D$4115,"&lt;=49999")</f>
        <v>1</v>
      </c>
      <c r="J12" s="78">
        <f t="shared" si="2"/>
        <v>0</v>
      </c>
      <c r="K12" s="77">
        <f t="shared" si="3"/>
        <v>1</v>
      </c>
      <c r="L12">
        <f t="shared" si="4"/>
        <v>0</v>
      </c>
    </row>
    <row r="13" spans="1:12">
      <c r="A13" t="s">
        <v>8402</v>
      </c>
      <c r="B13" s="13">
        <f>COUNTIFS(Kickstarter!$R$2:$R$4115,"plays",Kickstarter!$F$2:$F$4115,"successful",Kickstarter!$D$2:$D$4115,"&gt;=50000")</f>
        <v>2</v>
      </c>
      <c r="C13" s="13">
        <f>COUNTIFS(Kickstarter!$R$2:$R$4115,"plays",Kickstarter!$F$2:$F$4115,"failed",Kickstarter!$D$2:$D$4115,"&gt;=50000")</f>
        <v>14</v>
      </c>
      <c r="D13" s="68">
        <f>COUNTIFS(Kickstarter!$R$2:$R$4115,"plays",Kickstarter!$F$2:$F$4115,"live",Kickstarter!$D$2:$D$4115,"&gt;=50000", Kickstarter!$V$2:$V$4115, "funded")</f>
        <v>0</v>
      </c>
      <c r="E13">
        <f>COUNTIFS(Kickstarter!$R$2:$R$4115,"plays",Kickstarter!$F$2:$F$4115,"live",Kickstarter!$D$2:$D$4115,"&gt;=50000", Kickstarter!$V$2:$V$4115, "underfunded")</f>
        <v>2</v>
      </c>
      <c r="F13">
        <f>COUNTIFS(Kickstarter!$R$2:$R$4115,"plays",Kickstarter!$F$2:$F$4115,"canceled",Kickstarter!$D$2:$D$4115,"&gt;=50000")</f>
        <v>0</v>
      </c>
      <c r="G13">
        <f t="shared" si="0"/>
        <v>16</v>
      </c>
      <c r="H13">
        <f t="shared" si="1"/>
        <v>18</v>
      </c>
      <c r="I13">
        <f>COUNTIFS(Kickstarter!$R$2:$R$4115,"plays",Kickstarter!$D$2:$D$4115,"&gt;=50000")</f>
        <v>18</v>
      </c>
      <c r="J13" s="78">
        <f t="shared" si="2"/>
        <v>0.1111111111111111</v>
      </c>
      <c r="K13" s="77">
        <f t="shared" si="3"/>
        <v>0.88888888888888884</v>
      </c>
      <c r="L13">
        <f t="shared" si="4"/>
        <v>0</v>
      </c>
    </row>
    <row r="15" spans="1:12" ht="64" customHeight="1">
      <c r="D15" s="76" t="s">
        <v>8415</v>
      </c>
      <c r="E15" s="76"/>
      <c r="H15" s="72" t="s">
        <v>8413</v>
      </c>
      <c r="I15" s="72" t="s">
        <v>8411</v>
      </c>
    </row>
    <row r="16" spans="1:12">
      <c r="D16" s="76"/>
      <c r="E16" s="76"/>
      <c r="H16" s="71" t="s">
        <v>8414</v>
      </c>
      <c r="I16" s="70"/>
    </row>
    <row r="18" spans="6:6">
      <c r="F18" s="79" t="s">
        <v>8419</v>
      </c>
    </row>
  </sheetData>
  <mergeCells count="2">
    <mergeCell ref="H16:I16"/>
    <mergeCell ref="D15:E1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3CE71-0C24-3B4B-8BAC-C8D47C60F99C}">
  <dimension ref="A1:L16"/>
  <sheetViews>
    <sheetView tabSelected="1" zoomScale="132"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baseColWidth="10" defaultRowHeight="15"/>
  <cols>
    <col min="1" max="1" width="15" style="82" bestFit="1" customWidth="1"/>
    <col min="2" max="16384" width="10.83203125" style="82"/>
  </cols>
  <sheetData>
    <row r="1" spans="1:12" ht="64">
      <c r="A1" s="82" t="s">
        <v>8420</v>
      </c>
      <c r="B1" s="83" t="s">
        <v>8390</v>
      </c>
      <c r="C1" s="84" t="s">
        <v>8404</v>
      </c>
      <c r="D1" s="85" t="s">
        <v>8408</v>
      </c>
      <c r="E1" s="85" t="s">
        <v>8409</v>
      </c>
      <c r="F1" s="86" t="s">
        <v>8410</v>
      </c>
      <c r="G1" s="87" t="s">
        <v>8405</v>
      </c>
      <c r="H1" s="87" t="s">
        <v>8406</v>
      </c>
      <c r="I1" s="88" t="s">
        <v>8412</v>
      </c>
      <c r="J1" s="83" t="s">
        <v>8416</v>
      </c>
      <c r="K1" s="84" t="s">
        <v>8417</v>
      </c>
      <c r="L1" s="86" t="s">
        <v>8418</v>
      </c>
    </row>
    <row r="2" spans="1:12">
      <c r="A2" s="82" t="s">
        <v>8422</v>
      </c>
      <c r="B2" s="82">
        <f>COUNTIFS(Kickstarter!$R$2:$R$4115,"plays",Kickstarter!$F$2:$F$4115,"successful",Kickstarter!$U$2:$U$4115,"&lt;=7")</f>
        <v>4</v>
      </c>
      <c r="C2" s="89">
        <f>COUNTIFS(Kickstarter!$R$2:$R$4115,"plays",Kickstarter!$F$2:$F$4115,"failed",Kickstarter!$U$2:$U$4115,"&lt;=7")</f>
        <v>4</v>
      </c>
      <c r="D2" s="89">
        <f>COUNTIFS(Kickstarter!$R$2:$R$4115,"plays",Kickstarter!$F$2:$F$4115,"live",Kickstarter!$U$2:$U$4115,"&lt;=7", Kickstarter!$V$2:$V$4115, "funded")</f>
        <v>0</v>
      </c>
      <c r="E2" s="82">
        <f>COUNTIFS(Kickstarter!$R$2:$R$4115,"plays",Kickstarter!$F$2:$F$4115,"live",Kickstarter!$U$2:$U$4115,"&lt;=7", Kickstarter!$V$2:$V$4115, "underfunded")</f>
        <v>0</v>
      </c>
      <c r="F2" s="82">
        <f>COUNTIFS(Kickstarter!$R$2:$R$4115,"plays",Kickstarter!$F$2:$F$4115,"canceled",Kickstarter!$U$2:$U$4115,"&lt;=7")</f>
        <v>0</v>
      </c>
      <c r="G2" s="82">
        <f>B2+C2+F2</f>
        <v>8</v>
      </c>
      <c r="H2" s="82">
        <f>B2+C2+D2+E2+F2</f>
        <v>8</v>
      </c>
      <c r="I2" s="82">
        <f>COUNTIFS(Kickstarter!$R$2:$R$4115,"plays",Kickstarter!$U$2:$U$4115,"&lt;=7")</f>
        <v>8</v>
      </c>
      <c r="J2" s="90">
        <f>(B2+D2)/I2</f>
        <v>0.5</v>
      </c>
      <c r="K2" s="91">
        <f>(C2+E2)/I2</f>
        <v>0.5</v>
      </c>
      <c r="L2" s="82">
        <f>F2/I2</f>
        <v>0</v>
      </c>
    </row>
    <row r="3" spans="1:12">
      <c r="A3" s="82" t="s">
        <v>8421</v>
      </c>
      <c r="B3" s="82">
        <f>COUNTIFS(Kickstarter!$R$2:$R$4115,"plays",Kickstarter!$F$2:$F$4115,"successful",Kickstarter!$U$2:$U$4115,"&gt;=8", Kickstarter!$U$2:$U$4115,"&lt;=14")</f>
        <v>46</v>
      </c>
      <c r="C3" s="82">
        <f>COUNTIFS(Kickstarter!$R$2:$R$4115,"plays",Kickstarter!$F$2:$F$4115,"failed",Kickstarter!$U$2:$U$4115,"&gt;=8", Kickstarter!$U$2:$U$4115,"&lt;=14")</f>
        <v>14</v>
      </c>
      <c r="D3" s="89">
        <f>COUNTIFS(Kickstarter!$R$2:$R$4115,"plays",Kickstarter!$F$2:$F$4115,"live",Kickstarter!$U$2:$U$4115,"&gt;=8", Kickstarter!$U$2:$U$4115,"&lt;=14", Kickstarter!$V$2:$V$4115, "funded")</f>
        <v>0</v>
      </c>
      <c r="E3" s="82">
        <f>COUNTIFS(Kickstarter!$R$2:$R$4115,"plays",Kickstarter!$F$2:$F$4115,"live",Kickstarter!$U$2:$U$4115,"&gt;=8", Kickstarter!$U$2:$U$4115,"&lt;=14", Kickstarter!$V$2:$V$4115, "underfunded")</f>
        <v>0</v>
      </c>
      <c r="F3" s="82">
        <f>COUNTIFS(Kickstarter!$R$2:$R$4115,"plays",Kickstarter!$F$2:$F$4115,"canceled",Kickstarter!$U$2:$U$4115,"&gt;=8", Kickstarter!$U$2:$U$4115,"&lt;=14")</f>
        <v>0</v>
      </c>
      <c r="G3" s="82">
        <f>B3+C3+F3</f>
        <v>60</v>
      </c>
      <c r="H3" s="82">
        <f>B3+C3+D3+E3+F3</f>
        <v>60</v>
      </c>
      <c r="I3" s="82">
        <f>COUNTIFS(Kickstarter!$R$2:$R$4115,"plays",Kickstarter!$U$2:$U$4115,"&gt;=8", Kickstarter!$U$2:$U$4115,"&lt;=14")</f>
        <v>60</v>
      </c>
      <c r="J3" s="90">
        <f>(B3+D3)/I3</f>
        <v>0.76666666666666672</v>
      </c>
      <c r="K3" s="91">
        <f>(C3+E3)/I3</f>
        <v>0.23333333333333334</v>
      </c>
      <c r="L3" s="82">
        <f>F3/I3</f>
        <v>0</v>
      </c>
    </row>
    <row r="4" spans="1:12">
      <c r="A4" s="82" t="s">
        <v>8423</v>
      </c>
      <c r="B4" s="82">
        <f>COUNTIFS(Kickstarter!$R$2:$R$4115,"plays",Kickstarter!$F$2:$F$4115,"successful",Kickstarter!$U$2:$U$4115,"&gt;=15", Kickstarter!$U$2:$U$4115,"&lt;=21")</f>
        <v>76</v>
      </c>
      <c r="C4" s="82">
        <f>COUNTIFS(Kickstarter!$R$2:$R$4115,"plays",Kickstarter!$F$2:$F$4115,"failed",Kickstarter!$U$2:$U$4115,"&gt;=15", Kickstarter!$U$2:$U$4115,"&lt;=21")</f>
        <v>21</v>
      </c>
      <c r="D4" s="89">
        <f>COUNTIFS(Kickstarter!$R$2:$R$4115,"plays",Kickstarter!$F$2:$F$4115,"live",Kickstarter!$U$2:$U$4115,"&gt;=15", Kickstarter!$U$2:$U$4115,"&lt;=21", Kickstarter!$V$2:$V$4115, "funded")</f>
        <v>0</v>
      </c>
      <c r="E4" s="82">
        <f>COUNTIFS(Kickstarter!$R$2:$R$4115,"plays",Kickstarter!$F$2:$F$4115,"live",Kickstarter!$U$2:$U$4115,"&gt;=15", Kickstarter!$U$2:$U$4115,"&lt;=21", Kickstarter!$V$2:$V$4115, "underfunded")</f>
        <v>3</v>
      </c>
      <c r="F4" s="82">
        <f>COUNTIFS(Kickstarter!$R$2:$R$4115,"plays",Kickstarter!$F$2:$F$4115,"canceled",Kickstarter!$U$2:$U$4115,"&gt;=15", Kickstarter!$U$2:$U$4115,"&lt;=21")</f>
        <v>0</v>
      </c>
      <c r="G4" s="82">
        <f>B4+C4+F4</f>
        <v>97</v>
      </c>
      <c r="H4" s="82">
        <f>B4+C4+D4+E4+F4</f>
        <v>100</v>
      </c>
      <c r="I4" s="82">
        <f>COUNTIFS(Kickstarter!$R$2:$R$4115,"plays",Kickstarter!$U$2:$U$4115,"&gt;=15", Kickstarter!$U$2:$U$4115,"&lt;=21")</f>
        <v>100</v>
      </c>
      <c r="J4" s="90">
        <f>(B4+D4)/I4</f>
        <v>0.76</v>
      </c>
      <c r="K4" s="91">
        <f>(C4+E4)/I4</f>
        <v>0.24</v>
      </c>
      <c r="L4" s="82">
        <f>F4/I4</f>
        <v>0</v>
      </c>
    </row>
    <row r="5" spans="1:12">
      <c r="A5" s="82" t="s">
        <v>8424</v>
      </c>
      <c r="B5" s="82">
        <f>COUNTIFS(Kickstarter!$R$2:$R$4115,"plays",Kickstarter!$F$2:$F$4115,"successful",Kickstarter!$U$2:$U$4115,"&gt;=22", Kickstarter!$U$2:$U$4115,"&lt;=28")</f>
        <v>96</v>
      </c>
      <c r="C5" s="82">
        <f>COUNTIFS(Kickstarter!$R$2:$R$4115,"plays",Kickstarter!$F$2:$F$4115,"failed",Kickstarter!$U$2:$U$4115,"&gt;=22", Kickstarter!$U$2:$U$4115,"&lt;=28")</f>
        <v>30</v>
      </c>
      <c r="D5" s="89">
        <f>COUNTIFS(Kickstarter!$R$2:$R$4115,"plays",Kickstarter!$F$2:$F$4115,"live",Kickstarter!$U$2:$U$4115,"&gt;=22", Kickstarter!$U$2:$U$4115,"&lt;=28", Kickstarter!$V$2:$V$4115, "funded")</f>
        <v>0</v>
      </c>
      <c r="E5" s="82">
        <f>COUNTIFS(Kickstarter!$R$2:$R$4115,"plays",Kickstarter!$F$2:$F$4115,"live",Kickstarter!$U$2:$U$4115,"&gt;=22", Kickstarter!$U$2:$U$4115,"&lt;=28", Kickstarter!$V$2:$V$4115, "underfunded")</f>
        <v>2</v>
      </c>
      <c r="F5" s="82">
        <f>COUNTIFS(Kickstarter!$R$2:$R$4115,"plays",Kickstarter!$F$2:$F$4115,"canceled",Kickstarter!$U$2:$U$4115,"&gt;=22", Kickstarter!$U$2:$U$4115,"&lt;=28")</f>
        <v>0</v>
      </c>
      <c r="G5" s="82">
        <f>B5+C5+F5</f>
        <v>126</v>
      </c>
      <c r="H5" s="82">
        <f>B5+C5+D5+E5+F5</f>
        <v>128</v>
      </c>
      <c r="I5" s="82">
        <f>COUNTIFS(Kickstarter!$R$2:$R$4115,"plays",Kickstarter!$U$2:$U$4115,"&gt;=22", Kickstarter!$U$2:$U$4115,"&lt;=28")</f>
        <v>128</v>
      </c>
      <c r="J5" s="90">
        <f>(B5+D5)/I5</f>
        <v>0.75</v>
      </c>
      <c r="K5" s="91">
        <f>(C5+E5)/I5</f>
        <v>0.25</v>
      </c>
      <c r="L5" s="82">
        <f>F5/I5</f>
        <v>0</v>
      </c>
    </row>
    <row r="6" spans="1:12">
      <c r="A6" s="82" t="s">
        <v>8425</v>
      </c>
      <c r="B6" s="89">
        <f>COUNTIFS(Kickstarter!$R$2:$R$4115,"plays",Kickstarter!$F$2:$F$4115,"successful",Kickstarter!$U$2:$U$4115,"&gt;=29", Kickstarter!$U$2:$U$4115,"&lt;=35")</f>
        <v>316</v>
      </c>
      <c r="C6" s="89">
        <f>COUNTIFS(Kickstarter!$R$2:$R$4115,"plays",Kickstarter!$F$2:$F$4115,"failed",Kickstarter!$U$2:$U$4115,"&gt;=29", Kickstarter!$U$2:$U$4115,"&lt;=35")</f>
        <v>171</v>
      </c>
      <c r="D6" s="89">
        <f>COUNTIFS(Kickstarter!$R$2:$R$4115,"plays",Kickstarter!$F$2:$F$4115,"live",Kickstarter!$U$2:$U$4115,"&gt;=29", Kickstarter!$U$2:$U$4115,"&lt;=35", Kickstarter!$V$2:$V$4115, "funded")</f>
        <v>2</v>
      </c>
      <c r="E6" s="89">
        <f>COUNTIFS(Kickstarter!$R$2:$R$4115,"plays",Kickstarter!$F$2:$F$4115,"live",Kickstarter!$U$2:$U$4115,"&gt;=29", Kickstarter!$U$2:$U$4115,"&lt;=35", Kickstarter!$V$2:$V$4115, "underfunded")</f>
        <v>5</v>
      </c>
      <c r="F6" s="89">
        <f>COUNTIFS(Kickstarter!$R$2:$R$4115,"plays",Kickstarter!$F$2:$F$4115,"canceled",Kickstarter!$U$2:$U$4115,"&gt;=29", Kickstarter!$U$2:$U$4115,"&lt;=35")</f>
        <v>0</v>
      </c>
      <c r="G6" s="82">
        <f>B6+C6+F6</f>
        <v>487</v>
      </c>
      <c r="H6" s="82">
        <f>B6+C6+D6+E6+F6</f>
        <v>494</v>
      </c>
      <c r="I6" s="82">
        <f>COUNTIFS(Kickstarter!$R$2:$R$4115,"plays",Kickstarter!$U$2:$U$4115,"&gt;=29", Kickstarter!$U$2:$U$4115,"&lt;=35")</f>
        <v>494</v>
      </c>
      <c r="J6" s="90">
        <f>(B6+D6)/I6</f>
        <v>0.64372469635627527</v>
      </c>
      <c r="K6" s="91">
        <f>(C6+E6)/I6</f>
        <v>0.35627530364372467</v>
      </c>
      <c r="L6" s="82">
        <f>F6/I6</f>
        <v>0</v>
      </c>
    </row>
    <row r="7" spans="1:12">
      <c r="A7" s="82" t="s">
        <v>8426</v>
      </c>
      <c r="B7" s="89">
        <f>COUNTIFS(Kickstarter!$R$2:$R$4115,"plays",Kickstarter!$F$2:$F$4115,"successful",Kickstarter!$U$2:$U$4115,"&gt;=36", Kickstarter!$U$2:$U$4115,"&lt;=42")</f>
        <v>33</v>
      </c>
      <c r="C7" s="89">
        <f>COUNTIFS(Kickstarter!$R$2:$R$4115,"plays",Kickstarter!$F$2:$F$4115,"failed",Kickstarter!$U$2:$U$4115,"&gt;=36", Kickstarter!$U$2:$U$4115,"&lt;=42")</f>
        <v>16</v>
      </c>
      <c r="D7" s="89">
        <f>COUNTIFS(Kickstarter!$R$2:$R$4115,"plays",Kickstarter!$F$2:$F$4115,"live",Kickstarter!$U$2:$U$4115,"&gt;=36", Kickstarter!$U$2:$U$4115,"&lt;=42", Kickstarter!$V$2:$V$4115, "funded")</f>
        <v>1</v>
      </c>
      <c r="E7" s="89">
        <f>COUNTIFS(Kickstarter!$R$2:$R$4115,"plays",Kickstarter!$F$2:$F$4115,"live",Kickstarter!$U$2:$U$4115,"&gt;=36", Kickstarter!$U$2:$U$4115,"&lt;=42", Kickstarter!$V$2:$V$4115, "underfunded")</f>
        <v>2</v>
      </c>
      <c r="F7" s="89">
        <f>COUNTIFS(Kickstarter!$R$2:$R$4115,"plays",Kickstarter!$F$2:$F$4115,"canceled",Kickstarter!$U$2:$U$4115,"&gt;=36", Kickstarter!$U$2:$U$4115,"&lt;=42")</f>
        <v>0</v>
      </c>
      <c r="G7" s="82">
        <f>B7+C7+F7</f>
        <v>49</v>
      </c>
      <c r="H7" s="82">
        <f>B7+C7+D7+E7+F7</f>
        <v>52</v>
      </c>
      <c r="I7" s="82">
        <f>COUNTIFS(Kickstarter!$R$2:$R$4115,"plays",Kickstarter!$U$2:$U$4115,"&gt;=36", Kickstarter!$U$2:$U$4115,"&lt;=42")</f>
        <v>52</v>
      </c>
      <c r="J7" s="90">
        <f>(B7+D7)/I7</f>
        <v>0.65384615384615385</v>
      </c>
      <c r="K7" s="91">
        <f>(C7+E7)/I7</f>
        <v>0.34615384615384615</v>
      </c>
      <c r="L7" s="82">
        <f>F7/I7</f>
        <v>0</v>
      </c>
    </row>
    <row r="8" spans="1:12">
      <c r="A8" s="82" t="s">
        <v>8427</v>
      </c>
      <c r="B8" s="89">
        <f>COUNTIFS(Kickstarter!$R$2:$R$4115,"plays",Kickstarter!$F$2:$F$4115,"successful",Kickstarter!$U$2:$U$4115,"&gt;=43", Kickstarter!$U$2:$U$4115,"&lt;=49")</f>
        <v>22</v>
      </c>
      <c r="C8" s="89">
        <f>COUNTIFS(Kickstarter!$R$2:$R$4115,"plays",Kickstarter!$F$2:$F$4115,"failed",Kickstarter!$U$2:$U$4115,"&gt;=43", Kickstarter!$U$2:$U$4115,"&lt;=49")</f>
        <v>14</v>
      </c>
      <c r="D8" s="89">
        <f>COUNTIFS(Kickstarter!$R$2:$R$4115,"plays",Kickstarter!$F$2:$F$4115,"live",Kickstarter!$U$2:$U$4115,"&gt;=43", Kickstarter!$U$2:$U$4115,"&lt;=49", Kickstarter!$V$2:$V$4115, "funded")</f>
        <v>0</v>
      </c>
      <c r="E8" s="89">
        <f>COUNTIFS(Kickstarter!$R$2:$R$4115,"plays",Kickstarter!$F$2:$F$4115,"live",Kickstarter!$U$2:$U$4115,"&gt;=43", Kickstarter!$U$2:$U$4115,"&lt;=49", Kickstarter!$V$2:$V$4115, "underfunded")</f>
        <v>1</v>
      </c>
      <c r="F8" s="89">
        <f>COUNTIFS(Kickstarter!$R$2:$R$4115,"plays",Kickstarter!$F$2:$F$4115,"canceled",Kickstarter!$U$2:$U$4115,"&gt;=43", Kickstarter!$U$2:$U$4115,"&lt;=49")</f>
        <v>0</v>
      </c>
      <c r="G8" s="82">
        <f>B8+C8+F8</f>
        <v>36</v>
      </c>
      <c r="H8" s="82">
        <f>B8+C8+D8+E8+F8</f>
        <v>37</v>
      </c>
      <c r="I8" s="82">
        <f>COUNTIFS(Kickstarter!$R$2:$R$4115,"plays",Kickstarter!$U$2:$U$4115,"&gt;=43", Kickstarter!$U$2:$U$4115,"&lt;=49")</f>
        <v>37</v>
      </c>
      <c r="J8" s="90">
        <f>(B8+D8)/I8</f>
        <v>0.59459459459459463</v>
      </c>
      <c r="K8" s="91">
        <f>(C8+E8)/I8</f>
        <v>0.40540540540540543</v>
      </c>
      <c r="L8" s="82">
        <f>F8/I8</f>
        <v>0</v>
      </c>
    </row>
    <row r="9" spans="1:12">
      <c r="A9" s="82" t="s">
        <v>8428</v>
      </c>
      <c r="B9" s="82">
        <f>COUNTIFS(Kickstarter!$R$2:$R$4115,"plays",Kickstarter!$F$2:$F$4115,"successful",Kickstarter!$U$2:$U$4115,"&gt;=50")</f>
        <v>39</v>
      </c>
      <c r="C9" s="82">
        <f>COUNTIFS(Kickstarter!$R$2:$R$4115,"plays",Kickstarter!$F$2:$F$4115,"failed",Kickstarter!$U$2:$U$4115,"&gt;=50")</f>
        <v>63</v>
      </c>
      <c r="D9" s="89">
        <f>COUNTIFS(Kickstarter!$R$2:$R$4115,"plays",Kickstarter!$F$2:$F$4115,"live",Kickstarter!$U$2:$U$4115,"&gt;=50", Kickstarter!$V$2:$V$4115, "funded")</f>
        <v>0</v>
      </c>
      <c r="E9" s="82">
        <f>COUNTIFS(Kickstarter!$R$2:$R$4115,"plays",Kickstarter!$F$2:$F$4115,"live",Kickstarter!$U$2:$U$4115,"&gt;=50", Kickstarter!$V$2:$V$4115, "underfunded")</f>
        <v>3</v>
      </c>
      <c r="F9" s="82">
        <f>COUNTIFS(Kickstarter!$R$2:$R$4115,"plays",Kickstarter!$F$2:$F$4115,"canceled",Kickstarter!$U$2:$U$4115,"&gt;=50")</f>
        <v>0</v>
      </c>
      <c r="G9" s="82">
        <f>B9+C9+F9</f>
        <v>102</v>
      </c>
      <c r="H9" s="82">
        <f>B9+C9+D9+E9+F9</f>
        <v>105</v>
      </c>
      <c r="I9" s="82">
        <f>COUNTIFS(Kickstarter!$R$2:$R$4115,"plays",Kickstarter!$U$2:$U$4115,"&gt;=50")</f>
        <v>105</v>
      </c>
      <c r="J9" s="90">
        <f>(B9+D9)/I9</f>
        <v>0.37142857142857144</v>
      </c>
      <c r="K9" s="91">
        <f>(C9+E9)/I9</f>
        <v>0.62857142857142856</v>
      </c>
      <c r="L9" s="82">
        <f>F9/I9</f>
        <v>0</v>
      </c>
    </row>
    <row r="11" spans="1:12" ht="64">
      <c r="D11" s="92" t="s">
        <v>8429</v>
      </c>
      <c r="E11" s="93"/>
      <c r="H11" s="94" t="s">
        <v>8413</v>
      </c>
      <c r="I11" s="94" t="s">
        <v>8411</v>
      </c>
    </row>
    <row r="12" spans="1:12">
      <c r="D12" s="93"/>
      <c r="E12" s="93"/>
      <c r="H12" s="95" t="s">
        <v>8414</v>
      </c>
      <c r="I12" s="96"/>
    </row>
    <row r="13" spans="1:12">
      <c r="B13" s="89"/>
      <c r="C13" s="89"/>
      <c r="D13" s="89"/>
      <c r="E13" s="89"/>
      <c r="F13" s="89"/>
      <c r="G13" s="89"/>
      <c r="H13" s="89"/>
      <c r="I13" s="89"/>
      <c r="J13" s="97"/>
      <c r="K13" s="97"/>
      <c r="L13" s="89"/>
    </row>
    <row r="14" spans="1:12">
      <c r="B14" s="89"/>
      <c r="C14" s="89"/>
      <c r="D14" s="89"/>
      <c r="E14" s="89"/>
      <c r="F14" s="89"/>
      <c r="G14" s="89"/>
      <c r="H14" s="89"/>
      <c r="I14" s="89"/>
      <c r="J14" s="97"/>
      <c r="K14" s="97"/>
      <c r="L14" s="89"/>
    </row>
    <row r="15" spans="1:12">
      <c r="B15" s="89"/>
      <c r="C15" s="89"/>
      <c r="D15" s="89"/>
      <c r="E15" s="89"/>
      <c r="F15" s="89"/>
      <c r="G15" s="89"/>
      <c r="H15" s="89"/>
      <c r="I15" s="89"/>
      <c r="J15" s="97"/>
      <c r="K15" s="97"/>
      <c r="L15" s="89"/>
    </row>
    <row r="16" spans="1:12">
      <c r="B16" s="89"/>
      <c r="C16" s="89"/>
      <c r="D16" s="89"/>
      <c r="E16" s="89"/>
      <c r="F16" s="89"/>
      <c r="G16" s="89"/>
      <c r="H16" s="89"/>
      <c r="I16" s="89"/>
      <c r="J16" s="97"/>
      <c r="K16" s="97"/>
      <c r="L16" s="89"/>
    </row>
  </sheetData>
  <mergeCells count="2">
    <mergeCell ref="D11:E12"/>
    <mergeCell ref="H12:I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53CB4-5146-2E4E-8E53-693D8AC8994A}">
  <dimension ref="B2:P96"/>
  <sheetViews>
    <sheetView topLeftCell="A34" zoomScale="94" workbookViewId="0">
      <selection activeCell="L22" sqref="L22"/>
    </sheetView>
  </sheetViews>
  <sheetFormatPr baseColWidth="10" defaultRowHeight="15"/>
  <sheetData>
    <row r="2" spans="2:11" ht="16">
      <c r="B2" s="17"/>
      <c r="C2" s="18" t="s">
        <v>8379</v>
      </c>
      <c r="D2" s="17"/>
      <c r="E2" s="17"/>
      <c r="F2" s="17"/>
      <c r="G2" s="17"/>
      <c r="H2" s="17"/>
      <c r="I2" s="17"/>
      <c r="J2" s="17"/>
    </row>
    <row r="3" spans="2:11">
      <c r="B3" s="17"/>
      <c r="C3" s="17"/>
      <c r="D3" s="17"/>
      <c r="E3" s="17"/>
      <c r="F3" s="17"/>
      <c r="G3" s="17"/>
      <c r="H3" s="17"/>
      <c r="I3" s="17"/>
      <c r="J3" s="17"/>
    </row>
    <row r="4" spans="2:11" ht="16"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2:11">
      <c r="B5" s="17"/>
      <c r="C5" s="17"/>
      <c r="D5" s="17"/>
      <c r="E5" s="17"/>
      <c r="F5" s="17"/>
      <c r="G5" s="17"/>
      <c r="H5" s="17"/>
      <c r="I5" s="17"/>
      <c r="J5" s="17"/>
    </row>
    <row r="6" spans="2:11">
      <c r="B6" s="17"/>
      <c r="C6" s="17"/>
      <c r="D6" s="17"/>
      <c r="E6" s="17"/>
      <c r="F6" s="17"/>
      <c r="G6" s="17"/>
      <c r="H6" s="17"/>
      <c r="I6" s="17"/>
      <c r="J6" s="17"/>
    </row>
    <row r="7" spans="2:11">
      <c r="B7" s="17"/>
      <c r="C7" s="17"/>
      <c r="D7" s="17"/>
      <c r="E7" s="17"/>
      <c r="F7" s="17"/>
      <c r="G7" s="17"/>
      <c r="H7" s="17"/>
      <c r="I7" s="17"/>
      <c r="J7" s="17"/>
    </row>
    <row r="8" spans="2:11">
      <c r="B8" s="17"/>
      <c r="C8" s="17"/>
      <c r="D8" s="17"/>
      <c r="E8" s="17"/>
      <c r="F8" s="17"/>
      <c r="G8" s="17"/>
      <c r="H8" s="17"/>
      <c r="I8" s="17"/>
      <c r="J8" s="17"/>
    </row>
    <row r="9" spans="2:11">
      <c r="B9" s="17"/>
      <c r="C9" s="17"/>
      <c r="D9" s="17"/>
      <c r="E9" s="17"/>
      <c r="F9" s="17"/>
      <c r="G9" s="17"/>
      <c r="H9" s="17"/>
      <c r="I9" s="17"/>
      <c r="J9" s="17"/>
    </row>
    <row r="10" spans="2:11">
      <c r="B10" s="17"/>
      <c r="C10" s="17"/>
      <c r="D10" s="17"/>
      <c r="E10" s="17"/>
      <c r="F10" s="17"/>
      <c r="G10" s="17"/>
      <c r="H10" s="17"/>
      <c r="I10" s="17"/>
      <c r="J10" s="17"/>
    </row>
    <row r="11" spans="2:11">
      <c r="B11" s="17"/>
      <c r="C11" s="17"/>
      <c r="D11" s="17"/>
      <c r="E11" s="17"/>
      <c r="F11" s="17"/>
      <c r="G11" s="17"/>
      <c r="H11" s="17"/>
      <c r="I11" s="17"/>
      <c r="J11" s="17"/>
    </row>
    <row r="12" spans="2:11">
      <c r="B12" s="17"/>
      <c r="C12" s="17"/>
      <c r="D12" s="17"/>
      <c r="E12" s="17"/>
      <c r="F12" s="17"/>
      <c r="G12" s="17"/>
      <c r="H12" s="17"/>
      <c r="I12" s="17"/>
      <c r="J12" s="17"/>
    </row>
    <row r="13" spans="2:11">
      <c r="B13" s="17"/>
      <c r="C13" s="17"/>
      <c r="D13" s="17"/>
      <c r="E13" s="17"/>
      <c r="F13" s="17"/>
      <c r="G13" s="17"/>
      <c r="H13" s="17"/>
      <c r="I13" s="17"/>
      <c r="J13" s="17"/>
    </row>
    <row r="14" spans="2:11">
      <c r="B14" s="17"/>
      <c r="C14" s="17"/>
      <c r="D14" s="17"/>
      <c r="E14" s="17"/>
      <c r="F14" s="17"/>
      <c r="G14" s="17"/>
      <c r="H14" s="17"/>
      <c r="I14" s="17"/>
      <c r="J14" s="17"/>
    </row>
    <row r="15" spans="2:11">
      <c r="B15" s="17"/>
      <c r="C15" s="17"/>
      <c r="D15" s="17"/>
      <c r="E15" s="17"/>
      <c r="F15" s="17"/>
      <c r="G15" s="17"/>
      <c r="H15" s="17"/>
      <c r="I15" s="17"/>
      <c r="J15" s="17"/>
    </row>
    <row r="16" spans="2:11">
      <c r="B16" s="17"/>
      <c r="C16" s="17"/>
      <c r="D16" s="17"/>
      <c r="E16" s="17"/>
      <c r="F16" s="17"/>
      <c r="G16" s="17"/>
      <c r="H16" s="17"/>
      <c r="I16" s="17"/>
      <c r="J16" s="17"/>
    </row>
    <row r="17" spans="2:16">
      <c r="B17" s="17"/>
      <c r="C17" s="17"/>
      <c r="D17" s="17"/>
      <c r="E17" s="17"/>
      <c r="F17" s="17"/>
      <c r="G17" s="17"/>
      <c r="H17" s="17"/>
      <c r="I17" s="17"/>
      <c r="J17" s="17"/>
    </row>
    <row r="18" spans="2:16">
      <c r="B18" s="17"/>
      <c r="C18" s="17"/>
      <c r="D18" s="17"/>
      <c r="E18" s="17"/>
      <c r="F18" s="17"/>
      <c r="G18" s="17"/>
      <c r="H18" s="17"/>
      <c r="I18" s="17"/>
      <c r="J18" s="17"/>
    </row>
    <row r="19" spans="2:16">
      <c r="B19" s="17"/>
      <c r="C19" s="17"/>
      <c r="D19" s="17"/>
      <c r="E19" s="17"/>
      <c r="F19" s="17"/>
      <c r="G19" s="17"/>
      <c r="H19" s="17"/>
      <c r="I19" s="17"/>
      <c r="J19" s="17"/>
    </row>
    <row r="20" spans="2:16">
      <c r="B20" s="17"/>
      <c r="C20" s="17"/>
      <c r="D20" s="17"/>
      <c r="E20" s="17"/>
      <c r="F20" s="17"/>
      <c r="G20" s="17"/>
      <c r="H20" s="17"/>
      <c r="I20" s="17"/>
      <c r="J20" s="17"/>
    </row>
    <row r="21" spans="2:16">
      <c r="B21" s="17"/>
      <c r="C21" s="17"/>
      <c r="D21" s="17"/>
      <c r="E21" s="17"/>
      <c r="F21" s="17"/>
      <c r="G21" s="17"/>
      <c r="H21" s="17"/>
      <c r="I21" s="17"/>
      <c r="J21" s="17"/>
    </row>
    <row r="22" spans="2:16">
      <c r="B22" s="17"/>
      <c r="C22" s="17"/>
      <c r="D22" s="17"/>
      <c r="E22" s="17"/>
      <c r="F22" s="17"/>
      <c r="G22" s="17"/>
      <c r="H22" s="17"/>
      <c r="I22" s="17"/>
      <c r="J22" s="17"/>
    </row>
    <row r="23" spans="2:16">
      <c r="B23" s="17"/>
      <c r="C23" s="17"/>
      <c r="D23" s="17"/>
      <c r="E23" s="17"/>
      <c r="F23" s="17"/>
      <c r="G23" s="17"/>
      <c r="H23" s="17"/>
      <c r="I23" s="17"/>
      <c r="J23" s="17"/>
    </row>
    <row r="24" spans="2:16">
      <c r="B24" s="17"/>
      <c r="C24" s="17"/>
      <c r="D24" s="17"/>
      <c r="E24" s="17"/>
      <c r="F24" s="17"/>
      <c r="G24" s="17"/>
      <c r="H24" s="17"/>
      <c r="I24" s="17"/>
      <c r="J24" s="17"/>
    </row>
    <row r="25" spans="2:16">
      <c r="B25" s="17"/>
      <c r="C25" s="17"/>
      <c r="D25" s="17"/>
      <c r="E25" s="17"/>
      <c r="F25" s="17"/>
      <c r="G25" s="17"/>
      <c r="H25" s="17"/>
      <c r="I25" s="17"/>
      <c r="J25" s="17"/>
    </row>
    <row r="26" spans="2:16">
      <c r="B26" s="17"/>
      <c r="C26" s="17"/>
      <c r="D26" s="17"/>
      <c r="E26" s="17"/>
      <c r="F26" s="17"/>
      <c r="G26" s="17"/>
      <c r="H26" s="17"/>
      <c r="I26" s="17"/>
      <c r="J26" s="17"/>
    </row>
    <row r="30" spans="2:16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</row>
    <row r="31" spans="2:16"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</row>
    <row r="32" spans="2:16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</row>
    <row r="33" spans="2:16"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</row>
    <row r="34" spans="2:16"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</row>
    <row r="35" spans="2:16"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</row>
    <row r="36" spans="2:16"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</row>
    <row r="37" spans="2:16"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</row>
    <row r="38" spans="2:16"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</row>
    <row r="39" spans="2:16"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</row>
    <row r="40" spans="2:16"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</row>
    <row r="41" spans="2:16"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</row>
    <row r="42" spans="2:16"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</row>
    <row r="43" spans="2:16"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</row>
    <row r="44" spans="2:16"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</row>
    <row r="45" spans="2:16"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</row>
    <row r="46" spans="2:16"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</row>
    <row r="47" spans="2:16"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</row>
    <row r="48" spans="2:16"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</row>
    <row r="49" spans="2:16"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</row>
    <row r="50" spans="2:16"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</row>
    <row r="51" spans="2:16"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</row>
    <row r="52" spans="2:16"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</row>
    <row r="53" spans="2:16"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</row>
    <row r="54" spans="2:16"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</row>
    <row r="55" spans="2:16"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</row>
    <row r="56" spans="2:16"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</row>
    <row r="57" spans="2:16"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</row>
    <row r="58" spans="2:16"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</row>
    <row r="59" spans="2:16"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</row>
    <row r="60" spans="2:16"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</row>
    <row r="61" spans="2:16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</row>
    <row r="62" spans="2:16"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</row>
    <row r="63" spans="2:16"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</row>
    <row r="64" spans="2:16"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</row>
    <row r="68" spans="2:12"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</row>
    <row r="69" spans="2:12"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</row>
    <row r="70" spans="2:12"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</row>
    <row r="71" spans="2:12"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</row>
    <row r="72" spans="2:12"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</row>
    <row r="73" spans="2:12"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</row>
    <row r="74" spans="2:12"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2:12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2:12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</row>
    <row r="77" spans="2:12"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</row>
    <row r="78" spans="2:12"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</row>
    <row r="79" spans="2:12"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</row>
    <row r="80" spans="2:12"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</row>
    <row r="81" spans="2:12"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</row>
    <row r="82" spans="2:12"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</row>
    <row r="83" spans="2:12"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</row>
    <row r="84" spans="2:12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</row>
    <row r="85" spans="2:12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</row>
    <row r="86" spans="2:12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</row>
    <row r="87" spans="2:12"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</row>
    <row r="88" spans="2:12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</row>
    <row r="89" spans="2:12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</row>
    <row r="90" spans="2:12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</row>
    <row r="91" spans="2:12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</row>
    <row r="92" spans="2:12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</row>
    <row r="93" spans="2:12"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</row>
    <row r="94" spans="2:12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</row>
    <row r="95" spans="2:12"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</row>
    <row r="96" spans="2:12"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</vt:lpstr>
      <vt:lpstr>Subcategory</vt:lpstr>
      <vt:lpstr>Outcome Based on Month Launched</vt:lpstr>
      <vt:lpstr>Edinburgh Research</vt:lpstr>
      <vt:lpstr>Outcome Based on Goals</vt:lpstr>
      <vt:lpstr>Outcome by Campaign Duration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2019-11-17T22:24:24Z</dcterms:modified>
</cp:coreProperties>
</file>