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appaifurnaceevry-my.sharepoint.com/personal/franck_regal_bld-france_eu/Documents/Bureau/GEKKO/dynamic_MIMO_identification/excel/"/>
    </mc:Choice>
  </mc:AlternateContent>
  <xr:revisionPtr revIDLastSave="13684" documentId="13_ncr:1_{EB934BAF-CAE0-408F-8DCD-6DD3891A9913}" xr6:coauthVersionLast="47" xr6:coauthVersionMax="47" xr10:uidLastSave="{E6BDB8DC-D91C-4A59-975A-ACD6FA99CB53}"/>
  <bookViews>
    <workbookView xWindow="-27480" yWindow="1044" windowWidth="23016" windowHeight="12120" activeTab="1" xr2:uid="{00000000-000D-0000-FFFF-FFFF00000000}"/>
  </bookViews>
  <sheets>
    <sheet name="FOPDT Fit" sheetId="3" r:id="rId1"/>
    <sheet name="SISO 1x1" sheetId="2" r:id="rId2"/>
    <sheet name="MIMO 2x2" sheetId="1" r:id="rId3"/>
  </sheets>
  <definedNames>
    <definedName name="solver_adj" localSheetId="2" hidden="1">'MIMO 2x2'!$B$5:$D$6,'MIMO 2x2'!$F$5:$H$6</definedName>
    <definedName name="solver_adj" localSheetId="1" hidden="1">'SISO 1x1'!$B$12:$C$13</definedName>
    <definedName name="solver_cvg" localSheetId="2" hidden="1">0.000001</definedName>
    <definedName name="solver_cvg" localSheetId="1" hidden="1">0.0001</definedName>
    <definedName name="solver_drv" localSheetId="2" hidden="1">1</definedName>
    <definedName name="solver_drv" localSheetId="1" hidden="1">1</definedName>
    <definedName name="solver_eng" localSheetId="2" hidden="1">1</definedName>
    <definedName name="solver_eng" localSheetId="1" hidden="1">1</definedName>
    <definedName name="solver_est" localSheetId="2" hidden="1">1</definedName>
    <definedName name="solver_est" localSheetId="1" hidden="1">1</definedName>
    <definedName name="solver_itr" localSheetId="2" hidden="1">2147483647</definedName>
    <definedName name="solver_itr" localSheetId="1" hidden="1">2147483647</definedName>
    <definedName name="solver_mip" localSheetId="2" hidden="1">2147483647</definedName>
    <definedName name="solver_mip" localSheetId="1" hidden="1">2147483647</definedName>
    <definedName name="solver_mni" localSheetId="2" hidden="1">30</definedName>
    <definedName name="solver_mni" localSheetId="1" hidden="1">30</definedName>
    <definedName name="solver_mrt" localSheetId="2" hidden="1">0.075</definedName>
    <definedName name="solver_mrt" localSheetId="1" hidden="1">0.075</definedName>
    <definedName name="solver_msl" localSheetId="2" hidden="1">2</definedName>
    <definedName name="solver_msl" localSheetId="1" hidden="1">2</definedName>
    <definedName name="solver_neg" localSheetId="2" hidden="1">2</definedName>
    <definedName name="solver_neg" localSheetId="1" hidden="1">2</definedName>
    <definedName name="solver_nod" localSheetId="2" hidden="1">2147483647</definedName>
    <definedName name="solver_nod" localSheetId="1" hidden="1">2147483647</definedName>
    <definedName name="solver_num" localSheetId="2" hidden="1">0</definedName>
    <definedName name="solver_num" localSheetId="1" hidden="1">0</definedName>
    <definedName name="solver_nwt" localSheetId="2" hidden="1">1</definedName>
    <definedName name="solver_nwt" localSheetId="1" hidden="1">1</definedName>
    <definedName name="solver_opt" localSheetId="2" hidden="1">'MIMO 2x2'!$J$40</definedName>
    <definedName name="solver_opt" localSheetId="1" hidden="1">'SISO 1x1'!$F$45</definedName>
    <definedName name="solver_pre" localSheetId="2" hidden="1">0.0000001</definedName>
    <definedName name="solver_pre" localSheetId="1" hidden="1">0.000001</definedName>
    <definedName name="solver_rbv" localSheetId="2" hidden="1">2</definedName>
    <definedName name="solver_rbv" localSheetId="1" hidden="1">1</definedName>
    <definedName name="solver_rlx" localSheetId="2" hidden="1">2</definedName>
    <definedName name="solver_rlx" localSheetId="1" hidden="1">2</definedName>
    <definedName name="solver_rsd" localSheetId="2" hidden="1">0</definedName>
    <definedName name="solver_rsd" localSheetId="1" hidden="1">0</definedName>
    <definedName name="solver_scl" localSheetId="2" hidden="1">1</definedName>
    <definedName name="solver_scl" localSheetId="1" hidden="1">1</definedName>
    <definedName name="solver_sho" localSheetId="2" hidden="1">2</definedName>
    <definedName name="solver_sho" localSheetId="1" hidden="1">2</definedName>
    <definedName name="solver_ssz" localSheetId="2" hidden="1">100</definedName>
    <definedName name="solver_ssz" localSheetId="1" hidden="1">100</definedName>
    <definedName name="solver_tim" localSheetId="2" hidden="1">2147483647</definedName>
    <definedName name="solver_tim" localSheetId="1" hidden="1">2147483647</definedName>
    <definedName name="solver_tol" localSheetId="2" hidden="1">0.01</definedName>
    <definedName name="solver_tol" localSheetId="1" hidden="1">0.01</definedName>
    <definedName name="solver_typ" localSheetId="2" hidden="1">2</definedName>
    <definedName name="solver_typ" localSheetId="1" hidden="1">2</definedName>
    <definedName name="solver_val" localSheetId="2" hidden="1">0</definedName>
    <definedName name="solver_val" localSheetId="1" hidden="1">0</definedName>
    <definedName name="solver_ver" localSheetId="2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2" i="1" l="1" a="1"/>
  <c r="T12" i="1" s="1"/>
  <c r="E21" i="2"/>
  <c r="D21" i="2"/>
  <c r="E16" i="1"/>
  <c r="G49" i="1" l="1"/>
  <c r="H17" i="1"/>
  <c r="H18" i="1"/>
  <c r="H19" i="1"/>
  <c r="H20" i="1"/>
  <c r="H21" i="1" s="1"/>
  <c r="H22" i="1" s="1"/>
  <c r="H23" i="1" s="1"/>
  <c r="H24" i="1" s="1"/>
  <c r="AR23" i="1" a="1"/>
  <c r="AR23" i="1" s="1"/>
  <c r="AL66" i="1" a="1"/>
  <c r="AL66" i="1" s="1"/>
  <c r="AL73" i="1" s="1" a="1"/>
  <c r="AL73" i="1" s="1"/>
  <c r="AL80" i="1" s="1" a="1"/>
  <c r="AL80" i="1" s="1"/>
  <c r="AL59" i="1" a="1"/>
  <c r="AL59" i="1" s="1"/>
  <c r="AX45" i="1"/>
  <c r="AX46" i="1"/>
  <c r="AX47" i="1"/>
  <c r="AX48" i="1" s="1"/>
  <c r="AX49" i="1" s="1"/>
  <c r="AX50" i="1" s="1"/>
  <c r="AX51" i="1" s="1"/>
  <c r="AX52" i="1" s="1"/>
  <c r="AX53" i="1" s="1"/>
  <c r="AX54" i="1" s="1"/>
  <c r="AX55" i="1" s="1"/>
  <c r="AX56" i="1" s="1"/>
  <c r="AX57" i="1" s="1"/>
  <c r="AX58" i="1" s="1"/>
  <c r="AX59" i="1" s="1"/>
  <c r="AX60" i="1" s="1"/>
  <c r="AX61" i="1" s="1"/>
  <c r="AX62" i="1" s="1"/>
  <c r="AX63" i="1" s="1"/>
  <c r="AX64" i="1" s="1"/>
  <c r="AX65" i="1" s="1"/>
  <c r="AC40" i="1" a="1"/>
  <c r="AC40" i="1" s="1"/>
  <c r="AJ40" i="1" a="1"/>
  <c r="AJ40" i="1" s="1"/>
  <c r="AL46" i="1"/>
  <c r="AK45" i="1"/>
  <c r="AJ44" i="1"/>
  <c r="AK46" i="1"/>
  <c r="AJ46" i="1"/>
  <c r="AL45" i="1"/>
  <c r="AJ45" i="1"/>
  <c r="AL44" i="1"/>
  <c r="AK44" i="1"/>
  <c r="AH46" i="1"/>
  <c r="AG45" i="1"/>
  <c r="AF44" i="1"/>
  <c r="AG44" i="1"/>
  <c r="AH44" i="1"/>
  <c r="AH45" i="1"/>
  <c r="AG46" i="1"/>
  <c r="AF45" i="1"/>
  <c r="AF46" i="1"/>
  <c r="F16" i="1"/>
  <c r="AT65" i="1"/>
  <c r="AU65" i="1"/>
  <c r="AV65" i="1"/>
  <c r="AT62" i="1"/>
  <c r="AU62" i="1"/>
  <c r="AV62" i="1"/>
  <c r="AT63" i="1"/>
  <c r="AU63" i="1"/>
  <c r="AV63" i="1"/>
  <c r="AT64" i="1"/>
  <c r="AU64" i="1"/>
  <c r="AV64" i="1"/>
  <c r="AT55" i="1"/>
  <c r="AU55" i="1"/>
  <c r="AV55" i="1"/>
  <c r="AT56" i="1"/>
  <c r="AU56" i="1"/>
  <c r="AV56" i="1"/>
  <c r="AT57" i="1"/>
  <c r="AU57" i="1"/>
  <c r="AV57" i="1"/>
  <c r="AT58" i="1"/>
  <c r="AU58" i="1"/>
  <c r="AV58" i="1"/>
  <c r="AT59" i="1"/>
  <c r="AU59" i="1"/>
  <c r="AV59" i="1"/>
  <c r="AT60" i="1"/>
  <c r="AU60" i="1"/>
  <c r="AV60" i="1"/>
  <c r="AT61" i="1"/>
  <c r="AU61" i="1"/>
  <c r="AV61" i="1"/>
  <c r="AT41" i="1"/>
  <c r="AU41" i="1"/>
  <c r="AV41" i="1"/>
  <c r="AT42" i="1"/>
  <c r="AU42" i="1"/>
  <c r="AV42" i="1"/>
  <c r="AT43" i="1"/>
  <c r="AU43" i="1"/>
  <c r="AV43" i="1"/>
  <c r="AT44" i="1"/>
  <c r="AU44" i="1"/>
  <c r="AV44" i="1"/>
  <c r="AT45" i="1"/>
  <c r="AU45" i="1"/>
  <c r="AV45" i="1"/>
  <c r="AT46" i="1"/>
  <c r="AU46" i="1"/>
  <c r="AV46" i="1"/>
  <c r="AT47" i="1"/>
  <c r="AU47" i="1"/>
  <c r="AV47" i="1"/>
  <c r="AT48" i="1"/>
  <c r="AU48" i="1"/>
  <c r="AV48" i="1"/>
  <c r="AT49" i="1"/>
  <c r="AU49" i="1"/>
  <c r="AV49" i="1"/>
  <c r="AT50" i="1"/>
  <c r="AU50" i="1"/>
  <c r="AV50" i="1"/>
  <c r="AT51" i="1"/>
  <c r="AU51" i="1"/>
  <c r="AV51" i="1"/>
  <c r="AT52" i="1"/>
  <c r="AU52" i="1"/>
  <c r="AV52" i="1"/>
  <c r="AT53" i="1"/>
  <c r="AU53" i="1"/>
  <c r="AV53" i="1"/>
  <c r="AT54" i="1"/>
  <c r="AU54" i="1"/>
  <c r="AV54" i="1"/>
  <c r="AU40" i="1"/>
  <c r="AV40" i="1"/>
  <c r="AT40" i="1"/>
  <c r="X40" i="1"/>
  <c r="Y40" i="1"/>
  <c r="X41" i="1"/>
  <c r="Y41" i="1"/>
  <c r="X42" i="1"/>
  <c r="Y42" i="1"/>
  <c r="X43" i="1"/>
  <c r="Y43" i="1"/>
  <c r="X44" i="1"/>
  <c r="Y44" i="1"/>
  <c r="X45" i="1"/>
  <c r="Y45" i="1"/>
  <c r="X46" i="1"/>
  <c r="Y46" i="1"/>
  <c r="X47" i="1"/>
  <c r="Y47" i="1"/>
  <c r="X48" i="1"/>
  <c r="Y48" i="1"/>
  <c r="X49" i="1"/>
  <c r="Y49" i="1"/>
  <c r="X50" i="1"/>
  <c r="Y50" i="1"/>
  <c r="X51" i="1"/>
  <c r="Y51" i="1"/>
  <c r="X52" i="1"/>
  <c r="Y52" i="1"/>
  <c r="X53" i="1"/>
  <c r="Y53" i="1"/>
  <c r="X54" i="1"/>
  <c r="Y54" i="1"/>
  <c r="X55" i="1"/>
  <c r="Y55" i="1"/>
  <c r="X56" i="1"/>
  <c r="Y56" i="1"/>
  <c r="X57" i="1"/>
  <c r="Y57" i="1"/>
  <c r="X58" i="1"/>
  <c r="Y58" i="1"/>
  <c r="X59" i="1"/>
  <c r="Y59" i="1"/>
  <c r="X60" i="1"/>
  <c r="Y60" i="1"/>
  <c r="X61" i="1"/>
  <c r="Y61" i="1"/>
  <c r="X62" i="1"/>
  <c r="Y62" i="1"/>
  <c r="X63" i="1"/>
  <c r="Y63" i="1"/>
  <c r="Y39" i="1"/>
  <c r="X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39" i="1"/>
  <c r="T63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39" i="1"/>
  <c r="AT9" i="1"/>
  <c r="AU9" i="1"/>
  <c r="AV9" i="1"/>
  <c r="AU12" i="1"/>
  <c r="AV12" i="1"/>
  <c r="AU13" i="1"/>
  <c r="AV13" i="1"/>
  <c r="AW13" i="1"/>
  <c r="AU14" i="1"/>
  <c r="AV14" i="1"/>
  <c r="AU15" i="1"/>
  <c r="AV15" i="1"/>
  <c r="AU16" i="1"/>
  <c r="AV16" i="1"/>
  <c r="AU17" i="1"/>
  <c r="AV17" i="1"/>
  <c r="AU18" i="1"/>
  <c r="AV18" i="1"/>
  <c r="AU19" i="1"/>
  <c r="AV19" i="1"/>
  <c r="AU20" i="1"/>
  <c r="AV20" i="1"/>
  <c r="AU21" i="1"/>
  <c r="AV21" i="1"/>
  <c r="AU22" i="1"/>
  <c r="AV22" i="1"/>
  <c r="AU23" i="1"/>
  <c r="AV23" i="1"/>
  <c r="AU24" i="1"/>
  <c r="AV24" i="1"/>
  <c r="AU25" i="1"/>
  <c r="AV25" i="1"/>
  <c r="AU26" i="1"/>
  <c r="AV26" i="1"/>
  <c r="AU27" i="1"/>
  <c r="AV27" i="1"/>
  <c r="AU28" i="1"/>
  <c r="AV28" i="1"/>
  <c r="AU29" i="1"/>
  <c r="AV29" i="1"/>
  <c r="AU30" i="1"/>
  <c r="AV30" i="1"/>
  <c r="AU31" i="1"/>
  <c r="AV31" i="1"/>
  <c r="AU32" i="1"/>
  <c r="AV32" i="1"/>
  <c r="AU33" i="1"/>
  <c r="AV33" i="1"/>
  <c r="AU34" i="1"/>
  <c r="AV34" i="1"/>
  <c r="AU35" i="1"/>
  <c r="AV35" i="1"/>
  <c r="AU36" i="1"/>
  <c r="AV36" i="1"/>
  <c r="AU11" i="1"/>
  <c r="AV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11" i="1"/>
  <c r="K4" i="1"/>
  <c r="K5" i="1"/>
  <c r="AF12" i="1" a="1"/>
  <c r="AF12" i="1" s="1"/>
  <c r="AE11" i="1" a="1"/>
  <c r="AE11" i="1" s="1"/>
  <c r="AD12" i="1" a="1"/>
  <c r="AD12" i="1" s="1"/>
  <c r="V12" i="1" a="1"/>
  <c r="V12" i="1" s="1"/>
  <c r="AG11" i="1" a="1"/>
  <c r="AG11" i="1" s="1"/>
  <c r="AJ48" i="1" l="1" a="1"/>
  <c r="AJ48" i="1" s="1"/>
  <c r="AJ52" i="1" s="1" a="1"/>
  <c r="AJ52" i="1" s="1"/>
  <c r="W17" i="2" a="1"/>
  <c r="W17" i="2" s="1"/>
  <c r="W11" i="1" a="1"/>
  <c r="W11" i="1" s="1"/>
  <c r="U11" i="1" a="1"/>
  <c r="U11" i="1" s="1"/>
  <c r="V18" i="2" a="1"/>
  <c r="V18" i="2" s="1"/>
  <c r="F11" i="2" l="1"/>
  <c r="D20" i="2"/>
  <c r="E20" i="2" l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L4" i="1"/>
  <c r="D18" i="2"/>
  <c r="D19" i="2" s="1"/>
  <c r="D22" i="2" l="1"/>
  <c r="D23" i="2" l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O17" i="2" l="1" a="1"/>
  <c r="O17" i="2" s="1"/>
  <c r="T17" i="2" s="1" a="1"/>
  <c r="T17" i="2" s="1"/>
  <c r="X18" i="2" a="1"/>
  <c r="X18" i="2" s="1"/>
  <c r="Y17" i="2" a="1"/>
  <c r="Y17" i="2" s="1"/>
  <c r="R17" i="2" a="1"/>
  <c r="R17" i="2" s="1"/>
  <c r="F18" i="2"/>
  <c r="AB17" i="2" l="1" a="1"/>
  <c r="AB17" i="2" s="1"/>
  <c r="AB14" i="2" s="1"/>
  <c r="T15" i="2"/>
  <c r="M14" i="2" a="1"/>
  <c r="M14" i="2" s="1"/>
  <c r="F22" i="2"/>
  <c r="F20" i="2"/>
  <c r="F19" i="2"/>
  <c r="F23" i="2"/>
  <c r="F21" i="2"/>
  <c r="J11" i="1"/>
  <c r="I11" i="1"/>
  <c r="L5" i="1"/>
  <c r="F45" i="1"/>
  <c r="J45" i="1" s="1"/>
  <c r="F12" i="1"/>
  <c r="J44" i="1"/>
  <c r="I44" i="1"/>
  <c r="E45" i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H47" i="1"/>
  <c r="H48" i="1" s="1"/>
  <c r="H49" i="1" s="1"/>
  <c r="H50" i="1" s="1"/>
  <c r="G47" i="1"/>
  <c r="E12" i="1"/>
  <c r="F13" i="1" l="1"/>
  <c r="F14" i="1" s="1"/>
  <c r="F15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E13" i="1"/>
  <c r="E14" i="1" s="1"/>
  <c r="E15" i="1" s="1"/>
  <c r="E17" i="1" s="1"/>
  <c r="E18" i="1" s="1"/>
  <c r="F24" i="2"/>
  <c r="J13" i="1"/>
  <c r="I12" i="1"/>
  <c r="J12" i="1"/>
  <c r="F46" i="1"/>
  <c r="I47" i="1"/>
  <c r="I45" i="1"/>
  <c r="I46" i="1"/>
  <c r="G48" i="1"/>
  <c r="I48" i="1" s="1"/>
  <c r="H51" i="1"/>
  <c r="H14" i="1"/>
  <c r="J14" i="1" s="1"/>
  <c r="G14" i="1"/>
  <c r="AL11" i="1" l="1" a="1"/>
  <c r="AL11" i="1" s="1"/>
  <c r="AH12" i="1" a="1"/>
  <c r="AH12" i="1" s="1"/>
  <c r="AI11" i="1" a="1"/>
  <c r="I13" i="1"/>
  <c r="I14" i="1"/>
  <c r="E19" i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F25" i="2"/>
  <c r="J46" i="1"/>
  <c r="F47" i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H52" i="1"/>
  <c r="I49" i="1"/>
  <c r="G15" i="1"/>
  <c r="I15" i="1" s="1"/>
  <c r="H15" i="1"/>
  <c r="J15" i="1" s="1"/>
  <c r="AI11" i="1" l="1"/>
  <c r="Z39" i="1" s="1"/>
  <c r="Z47" i="1"/>
  <c r="Z61" i="1"/>
  <c r="Z53" i="1"/>
  <c r="Z63" i="1"/>
  <c r="Z40" i="1"/>
  <c r="Z45" i="1"/>
  <c r="Z51" i="1"/>
  <c r="Z56" i="1"/>
  <c r="Z52" i="1"/>
  <c r="Z46" i="1"/>
  <c r="Z43" i="1"/>
  <c r="Z57" i="1"/>
  <c r="Z48" i="1"/>
  <c r="Z62" i="1"/>
  <c r="Z49" i="1"/>
  <c r="Z54" i="1"/>
  <c r="Z59" i="1"/>
  <c r="Z50" i="1"/>
  <c r="Z55" i="1"/>
  <c r="Z44" i="1"/>
  <c r="Z58" i="1"/>
  <c r="Z41" i="1"/>
  <c r="Z60" i="1"/>
  <c r="Z42" i="1"/>
  <c r="X12" i="1" a="1"/>
  <c r="X12" i="1" s="1"/>
  <c r="AB11" i="1" a="1"/>
  <c r="AB11" i="1" s="1"/>
  <c r="Y11" i="1" a="1"/>
  <c r="F26" i="2"/>
  <c r="J52" i="1"/>
  <c r="J50" i="1"/>
  <c r="J47" i="1"/>
  <c r="J48" i="1"/>
  <c r="J49" i="1"/>
  <c r="J51" i="1"/>
  <c r="H53" i="1"/>
  <c r="J53" i="1" s="1"/>
  <c r="G50" i="1"/>
  <c r="I50" i="1" s="1"/>
  <c r="H16" i="1"/>
  <c r="G16" i="1"/>
  <c r="G17" i="1" s="1"/>
  <c r="Y11" i="1" l="1"/>
  <c r="V39" i="1" s="1"/>
  <c r="V42" i="1"/>
  <c r="V49" i="1"/>
  <c r="V43" i="1"/>
  <c r="V50" i="1"/>
  <c r="V57" i="1"/>
  <c r="V51" i="1"/>
  <c r="V58" i="1"/>
  <c r="V52" i="1"/>
  <c r="V59" i="1"/>
  <c r="V53" i="1"/>
  <c r="V60" i="1"/>
  <c r="V47" i="1"/>
  <c r="V54" i="1"/>
  <c r="V61" i="1"/>
  <c r="V41" i="1"/>
  <c r="V48" i="1"/>
  <c r="V55" i="1"/>
  <c r="V62" i="1"/>
  <c r="V56" i="1"/>
  <c r="V63" i="1"/>
  <c r="V44" i="1"/>
  <c r="V45" i="1"/>
  <c r="V46" i="1"/>
  <c r="V40" i="1"/>
  <c r="AD59" i="1" a="1"/>
  <c r="AD59" i="1" s="1"/>
  <c r="AX14" i="1"/>
  <c r="F27" i="2"/>
  <c r="I16" i="1"/>
  <c r="J16" i="1"/>
  <c r="H54" i="1"/>
  <c r="J54" i="1" s="1"/>
  <c r="G51" i="1"/>
  <c r="I51" i="1" s="1"/>
  <c r="AD66" i="1" l="1" a="1"/>
  <c r="AD66" i="1" s="1"/>
  <c r="AD73" i="1" s="1" a="1"/>
  <c r="AD73" i="1" s="1"/>
  <c r="AD80" i="1" s="1" a="1"/>
  <c r="AD80" i="1" s="1"/>
  <c r="AO23" i="1" s="1" a="1"/>
  <c r="AO23" i="1" s="1"/>
  <c r="AF40" i="1" a="1"/>
  <c r="AF40" i="1" s="1"/>
  <c r="AF48" i="1" s="1" a="1"/>
  <c r="AF48" i="1" s="1"/>
  <c r="AF52" i="1" s="1" a="1"/>
  <c r="AF52" i="1" s="1"/>
  <c r="AB40" i="1" s="1" a="1"/>
  <c r="AB40" i="1" s="1"/>
  <c r="AW43" i="1" s="1"/>
  <c r="AW44" i="1" s="1"/>
  <c r="AW45" i="1" s="1"/>
  <c r="AW46" i="1" s="1"/>
  <c r="AW47" i="1" s="1"/>
  <c r="AW48" i="1" s="1"/>
  <c r="AW49" i="1" s="1"/>
  <c r="AW50" i="1" s="1"/>
  <c r="AW51" i="1" s="1"/>
  <c r="AW52" i="1" s="1"/>
  <c r="AW53" i="1" s="1"/>
  <c r="AW54" i="1" s="1"/>
  <c r="AW55" i="1" s="1"/>
  <c r="AW56" i="1" s="1"/>
  <c r="AW57" i="1" s="1"/>
  <c r="AW58" i="1" s="1"/>
  <c r="AW59" i="1" s="1"/>
  <c r="AW60" i="1" s="1"/>
  <c r="AW61" i="1" s="1"/>
  <c r="AW62" i="1" s="1"/>
  <c r="AW63" i="1" s="1"/>
  <c r="AW64" i="1" s="1"/>
  <c r="AW65" i="1" s="1"/>
  <c r="AX15" i="1"/>
  <c r="AX16" i="1"/>
  <c r="AX17" i="1" s="1"/>
  <c r="AX43" i="1"/>
  <c r="AX44" i="1" s="1"/>
  <c r="F28" i="2"/>
  <c r="J17" i="1"/>
  <c r="G18" i="1"/>
  <c r="I17" i="1"/>
  <c r="H55" i="1"/>
  <c r="J55" i="1" s="1"/>
  <c r="G52" i="1"/>
  <c r="I52" i="1" s="1"/>
  <c r="AW14" i="1" l="1"/>
  <c r="AW15" i="1" s="1"/>
  <c r="AX18" i="1"/>
  <c r="AX19" i="1" s="1"/>
  <c r="F29" i="2"/>
  <c r="G19" i="1"/>
  <c r="I18" i="1"/>
  <c r="J18" i="1"/>
  <c r="H56" i="1"/>
  <c r="J56" i="1" s="1"/>
  <c r="G53" i="1"/>
  <c r="I53" i="1" s="1"/>
  <c r="AW16" i="1" l="1"/>
  <c r="AX20" i="1"/>
  <c r="AW17" i="1"/>
  <c r="AW18" i="1" s="1"/>
  <c r="F30" i="2"/>
  <c r="J19" i="1"/>
  <c r="G20" i="1"/>
  <c r="I19" i="1"/>
  <c r="H57" i="1"/>
  <c r="J57" i="1" s="1"/>
  <c r="G54" i="1"/>
  <c r="I54" i="1" s="1"/>
  <c r="AX21" i="1" l="1"/>
  <c r="AW19" i="1"/>
  <c r="AW20" i="1"/>
  <c r="F31" i="2"/>
  <c r="I20" i="1"/>
  <c r="G21" i="1"/>
  <c r="J20" i="1"/>
  <c r="H58" i="1"/>
  <c r="J58" i="1" s="1"/>
  <c r="G55" i="1"/>
  <c r="I55" i="1" s="1"/>
  <c r="AX22" i="1" l="1"/>
  <c r="AX23" i="1" s="1"/>
  <c r="AW21" i="1"/>
  <c r="AW22" i="1" s="1"/>
  <c r="AW23" i="1" s="1"/>
  <c r="AW24" i="1" s="1"/>
  <c r="F32" i="2"/>
  <c r="G22" i="1"/>
  <c r="I21" i="1"/>
  <c r="J21" i="1"/>
  <c r="H59" i="1"/>
  <c r="J59" i="1" s="1"/>
  <c r="G56" i="1"/>
  <c r="I56" i="1" s="1"/>
  <c r="AX24" i="1" l="1"/>
  <c r="AX25" i="1"/>
  <c r="AW25" i="1"/>
  <c r="F33" i="2"/>
  <c r="J22" i="1"/>
  <c r="G23" i="1"/>
  <c r="I23" i="1" s="1"/>
  <c r="I22" i="1"/>
  <c r="H60" i="1"/>
  <c r="J60" i="1" s="1"/>
  <c r="G57" i="1"/>
  <c r="I57" i="1" s="1"/>
  <c r="AX26" i="1" l="1"/>
  <c r="AX27" i="1" s="1"/>
  <c r="AW26" i="1"/>
  <c r="F34" i="2"/>
  <c r="G24" i="1"/>
  <c r="J23" i="1"/>
  <c r="H61" i="1"/>
  <c r="J61" i="1" s="1"/>
  <c r="G58" i="1"/>
  <c r="I58" i="1" s="1"/>
  <c r="AX28" i="1" l="1"/>
  <c r="AX29" i="1" s="1"/>
  <c r="AW27" i="1"/>
  <c r="AW28" i="1" s="1"/>
  <c r="F35" i="2"/>
  <c r="J24" i="1"/>
  <c r="H25" i="1"/>
  <c r="I24" i="1"/>
  <c r="G25" i="1"/>
  <c r="H62" i="1"/>
  <c r="J62" i="1" s="1"/>
  <c r="G59" i="1"/>
  <c r="I59" i="1" s="1"/>
  <c r="AX30" i="1" l="1"/>
  <c r="AW29" i="1"/>
  <c r="F36" i="2"/>
  <c r="I25" i="1"/>
  <c r="G26" i="1"/>
  <c r="H26" i="1"/>
  <c r="J25" i="1"/>
  <c r="H63" i="1"/>
  <c r="G60" i="1"/>
  <c r="I60" i="1" s="1"/>
  <c r="AX31" i="1" l="1"/>
  <c r="AX32" i="1" s="1"/>
  <c r="AW30" i="1"/>
  <c r="F37" i="2"/>
  <c r="H27" i="1"/>
  <c r="J26" i="1"/>
  <c r="G27" i="1"/>
  <c r="I26" i="1"/>
  <c r="J63" i="1"/>
  <c r="J66" i="1" s="1"/>
  <c r="G61" i="1"/>
  <c r="I61" i="1" s="1"/>
  <c r="AX33" i="1" l="1"/>
  <c r="AX34" i="1"/>
  <c r="AW31" i="1"/>
  <c r="AW32" i="1" s="1"/>
  <c r="F38" i="2"/>
  <c r="G28" i="1"/>
  <c r="I27" i="1"/>
  <c r="H28" i="1"/>
  <c r="J27" i="1"/>
  <c r="G62" i="1"/>
  <c r="I62" i="1" s="1"/>
  <c r="AX35" i="1" l="1"/>
  <c r="AX36" i="1" s="1"/>
  <c r="AW33" i="1"/>
  <c r="F39" i="2"/>
  <c r="H29" i="1"/>
  <c r="J28" i="1"/>
  <c r="G29" i="1"/>
  <c r="I28" i="1"/>
  <c r="G63" i="1"/>
  <c r="AW34" i="1" l="1"/>
  <c r="F40" i="2"/>
  <c r="G30" i="1"/>
  <c r="I29" i="1"/>
  <c r="H30" i="1"/>
  <c r="J29" i="1"/>
  <c r="I63" i="1"/>
  <c r="I66" i="1" s="1"/>
  <c r="J68" i="1" s="1"/>
  <c r="AW35" i="1" l="1"/>
  <c r="AW36" i="1" s="1"/>
  <c r="F41" i="2"/>
  <c r="H31" i="1"/>
  <c r="J30" i="1"/>
  <c r="G31" i="1"/>
  <c r="I30" i="1"/>
  <c r="F43" i="2" l="1"/>
  <c r="F42" i="2"/>
  <c r="I31" i="1"/>
  <c r="G32" i="1"/>
  <c r="J31" i="1"/>
  <c r="H32" i="1"/>
  <c r="F45" i="2" l="1"/>
  <c r="J32" i="1"/>
  <c r="H33" i="1"/>
  <c r="I32" i="1"/>
  <c r="G33" i="1"/>
  <c r="I33" i="1" l="1"/>
  <c r="G34" i="1"/>
  <c r="J33" i="1"/>
  <c r="H34" i="1"/>
  <c r="J34" i="1" l="1"/>
  <c r="H35" i="1"/>
  <c r="I34" i="1"/>
  <c r="G35" i="1"/>
  <c r="J35" i="1" l="1"/>
  <c r="H36" i="1"/>
  <c r="J36" i="1" s="1"/>
  <c r="I35" i="1"/>
  <c r="G36" i="1"/>
  <c r="I36" i="1" s="1"/>
  <c r="I38" i="1" l="1"/>
  <c r="J38" i="1"/>
  <c r="J4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<sst xmlns="http://schemas.openxmlformats.org/spreadsheetml/2006/main" count="107" uniqueCount="72">
  <si>
    <t>Time</t>
  </si>
  <si>
    <t>Input 1</t>
  </si>
  <si>
    <t>Input 2</t>
  </si>
  <si>
    <t>Output 1</t>
  </si>
  <si>
    <t>Output 2</t>
  </si>
  <si>
    <t>Output 1 Pred</t>
  </si>
  <si>
    <t>Output 2 Pred</t>
  </si>
  <si>
    <t>k-1</t>
  </si>
  <si>
    <t>k-2</t>
  </si>
  <si>
    <t>k-3</t>
  </si>
  <si>
    <t>b (input 1)</t>
  </si>
  <si>
    <t>b (input 2)</t>
  </si>
  <si>
    <t>a (output)</t>
  </si>
  <si>
    <t>output 1</t>
  </si>
  <si>
    <t>output 2</t>
  </si>
  <si>
    <t>Output 1 Error</t>
  </si>
  <si>
    <t>Output 2 Error</t>
  </si>
  <si>
    <t>sum</t>
  </si>
  <si>
    <t>Total sum</t>
  </si>
  <si>
    <t>Gains</t>
  </si>
  <si>
    <t>output/input</t>
  </si>
  <si>
    <t>Time Constants</t>
  </si>
  <si>
    <t>tau</t>
  </si>
  <si>
    <t>index</t>
  </si>
  <si>
    <t>Estimated</t>
  </si>
  <si>
    <t>Actual</t>
  </si>
  <si>
    <t>Delays</t>
  </si>
  <si>
    <t>Gain</t>
  </si>
  <si>
    <t>Time Constant</t>
  </si>
  <si>
    <t>Time Delay</t>
  </si>
  <si>
    <t>b (input)</t>
  </si>
  <si>
    <t>Input</t>
  </si>
  <si>
    <t>Output</t>
  </si>
  <si>
    <t>Output Pred</t>
  </si>
  <si>
    <t>Output Error</t>
  </si>
  <si>
    <t>3 Terms</t>
  </si>
  <si>
    <t>y[k] = a[k-1]*y[k-1] + a[k-2]*y[k-2] + a[k-3]*y[k-3]   +   b[k-1]*u[k-1] + b[k-2]*u[k-2] + b[k-3]*u[k-3]</t>
  </si>
  <si>
    <t>2 Terms</t>
  </si>
  <si>
    <t>y[k] = a[k-1]*y[k-1] + a[k-2]*y[k-2]   +   b[k-1]*u[k-1] + b[k-2]*u[k-2]</t>
  </si>
  <si>
    <t>1 Term</t>
  </si>
  <si>
    <t>y[k] = a[k-1]*y[k-1]   +   b[k-1]*u[k-1]</t>
  </si>
  <si>
    <t>FOPDT</t>
  </si>
  <si>
    <t>Empirical Dynamic Modeling with Time Series Estimation</t>
  </si>
  <si>
    <t>Discrete</t>
  </si>
  <si>
    <t>Continuous</t>
  </si>
  <si>
    <r>
      <t>tau * dy/dt = -y + K * u(t-</t>
    </r>
    <r>
      <rPr>
        <sz val="11"/>
        <color theme="1"/>
        <rFont val="Symbol"/>
        <family val="1"/>
        <charset val="2"/>
      </rPr>
      <t>q</t>
    </r>
    <r>
      <rPr>
        <sz val="11"/>
        <color theme="1"/>
        <rFont val="Calibri"/>
        <family val="2"/>
        <scheme val="minor"/>
      </rPr>
      <t>)</t>
    </r>
  </si>
  <si>
    <r>
      <t>y[k] = exp(-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t/tau) * y[k-1] + (1-exp(-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t/tau))*K*u[k-1-</t>
    </r>
    <r>
      <rPr>
        <sz val="11"/>
        <color theme="1"/>
        <rFont val="Symbol"/>
        <family val="1"/>
        <charset val="2"/>
      </rPr>
      <t>q</t>
    </r>
    <r>
      <rPr>
        <sz val="11"/>
        <color theme="1"/>
        <rFont val="Calibri"/>
        <family val="2"/>
        <scheme val="minor"/>
      </rPr>
      <t>]</t>
    </r>
  </si>
  <si>
    <t>Zero terms</t>
  </si>
  <si>
    <t>Validation with Step Tests</t>
  </si>
  <si>
    <t>Time series estimation   y[k] = a[k-1]*y[k-1] + a[k-2]*y[k-2] + a[k-3]*y[k-3]   +   b[k-1][1]*u[k-1][1] + b[k-2][1]*u[k-2][1] + b[k-3][1]*u[k-3][1]   +   b[k-1][2]*u[k-1][2] + b[k-2][2]*u[k-2][2] + b[k-3][2]*u[k-3][2]</t>
  </si>
  <si>
    <t>GRG</t>
  </si>
  <si>
    <t>Linear Regression</t>
  </si>
  <si>
    <t>y1</t>
  </si>
  <si>
    <t>y2</t>
  </si>
  <si>
    <t>b1</t>
  </si>
  <si>
    <t>b2</t>
  </si>
  <si>
    <t>a1</t>
  </si>
  <si>
    <t>a2</t>
  </si>
  <si>
    <t>u1 k-1</t>
  </si>
  <si>
    <t>u1 k-2</t>
  </si>
  <si>
    <t>u2 k-2</t>
  </si>
  <si>
    <t>u2 k-1</t>
  </si>
  <si>
    <t>v1 k-2</t>
  </si>
  <si>
    <t>v1 k-1</t>
  </si>
  <si>
    <t>v2 k-2</t>
  </si>
  <si>
    <t>v2 k-1</t>
  </si>
  <si>
    <t>c1</t>
  </si>
  <si>
    <t>c2</t>
  </si>
  <si>
    <t xml:space="preserve">out2 </t>
  </si>
  <si>
    <t>out1</t>
  </si>
  <si>
    <t>A . X = B</t>
  </si>
  <si>
    <t>AT . A . X = AT.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</si>
</sst>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/>
    <xf numFmtId="0" fontId="1" fillId="0" borderId="7" xfId="0" applyFont="1" applyBorder="1"/>
    <xf numFmtId="2" fontId="0" fillId="2" borderId="1" xfId="0" applyNumberFormat="1" applyFill="1" applyBorder="1"/>
    <xf numFmtId="2" fontId="0" fillId="2" borderId="2" xfId="0" applyNumberFormat="1" applyFill="1" applyBorder="1"/>
    <xf numFmtId="2" fontId="0" fillId="2" borderId="3" xfId="0" applyNumberFormat="1" applyFill="1" applyBorder="1"/>
    <xf numFmtId="2" fontId="0" fillId="2" borderId="4" xfId="0" applyNumberForma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8" xfId="0" applyFill="1" applyBorder="1"/>
    <xf numFmtId="0" fontId="0" fillId="4" borderId="0" xfId="0" applyFill="1"/>
    <xf numFmtId="0" fontId="0" fillId="4" borderId="9" xfId="0" applyFill="1" applyBorder="1"/>
    <xf numFmtId="0" fontId="0" fillId="4" borderId="3" xfId="0" applyFill="1" applyBorder="1"/>
    <xf numFmtId="0" fontId="0" fillId="4" borderId="10" xfId="0" applyFill="1" applyBorder="1"/>
    <xf numFmtId="0" fontId="0" fillId="4" borderId="4" xfId="0" applyFill="1" applyBorder="1"/>
    <xf numFmtId="2" fontId="0" fillId="0" borderId="0" xfId="0" applyNumberFormat="1"/>
    <xf numFmtId="0" fontId="0" fillId="5" borderId="0" xfId="0" applyFill="1"/>
    <xf numFmtId="0" fontId="0" fillId="0" borderId="1" xfId="0" applyBorder="1"/>
    <xf numFmtId="0" fontId="0" fillId="5" borderId="9" xfId="0" applyFill="1" applyBorder="1"/>
    <xf numFmtId="0" fontId="0" fillId="5" borderId="4" xfId="0" applyFill="1" applyBorder="1"/>
    <xf numFmtId="0" fontId="2" fillId="0" borderId="1" xfId="0" applyFont="1" applyBorder="1"/>
    <xf numFmtId="2" fontId="0" fillId="2" borderId="9" xfId="0" applyNumberFormat="1" applyFill="1" applyBorder="1"/>
    <xf numFmtId="0" fontId="0" fillId="3" borderId="9" xfId="0" applyFill="1" applyBorder="1"/>
    <xf numFmtId="0" fontId="0" fillId="0" borderId="4" xfId="0" applyBorder="1" applyAlignment="1">
      <alignment wrapText="1"/>
    </xf>
    <xf numFmtId="0" fontId="1" fillId="0" borderId="2" xfId="0" applyFont="1" applyBorder="1"/>
    <xf numFmtId="0" fontId="0" fillId="6" borderId="5" xfId="0" applyFill="1" applyBorder="1"/>
    <xf numFmtId="0" fontId="0" fillId="6" borderId="6" xfId="0" applyFill="1" applyBorder="1"/>
    <xf numFmtId="0" fontId="0" fillId="0" borderId="11" xfId="0" applyBorder="1"/>
    <xf numFmtId="2" fontId="0" fillId="5" borderId="1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'SISO 1x1'!$C$16</c:f>
              <c:strCache>
                <c:ptCount val="1"/>
                <c:pt idx="0">
                  <c:v>Input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'SISO 1x1'!$B$17:$B$43</c:f>
              <c:numCache>
                <c:formatCode>General</c:formatCode>
                <c:ptCount val="2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</c:numCache>
            </c:numRef>
          </c:xVal>
          <c:yVal>
            <c:numRef>
              <c:f>'SISO 1x1'!$C$17:$C$43</c:f>
              <c:numCache>
                <c:formatCode>General</c:formatCode>
                <c:ptCount val="27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71-45E2-8A48-AEED0AB0F1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7488624"/>
        <c:axId val="1227491344"/>
      </c:scatterChart>
      <c:valAx>
        <c:axId val="1227488624"/>
        <c:scaling>
          <c:orientation val="minMax"/>
          <c:max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491344"/>
        <c:crosses val="autoZero"/>
        <c:crossBetween val="midCat"/>
      </c:valAx>
      <c:valAx>
        <c:axId val="122749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488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'SISO 1x1'!$D$16</c:f>
              <c:strCache>
                <c:ptCount val="1"/>
                <c:pt idx="0">
                  <c:v>Output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'SISO 1x1'!$B$17:$B$43</c:f>
              <c:numCache>
                <c:formatCode>General</c:formatCode>
                <c:ptCount val="2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</c:numCache>
            </c:numRef>
          </c:xVal>
          <c:yVal>
            <c:numRef>
              <c:f>'SISO 1x1'!$D$17:$D$43</c:f>
              <c:numCache>
                <c:formatCode>General</c:formatCode>
                <c:ptCount val="27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1.1804080208620997</c:v>
                </c:pt>
                <c:pt idx="5">
                  <c:v>1.896361676485673</c:v>
                </c:pt>
                <c:pt idx="6">
                  <c:v>2.3306095195547103</c:v>
                </c:pt>
                <c:pt idx="7">
                  <c:v>2.593994150290162</c:v>
                </c:pt>
                <c:pt idx="8">
                  <c:v>2.7537450041283034</c:v>
                </c:pt>
                <c:pt idx="9">
                  <c:v>2.8506387948964083</c:v>
                </c:pt>
                <c:pt idx="10">
                  <c:v>2.9094078497330447</c:v>
                </c:pt>
                <c:pt idx="11">
                  <c:v>2.9450530833337973</c:v>
                </c:pt>
                <c:pt idx="12">
                  <c:v>4.1470810312473727</c:v>
                </c:pt>
                <c:pt idx="13">
                  <c:v>4.8761478354884167</c:v>
                </c:pt>
                <c:pt idx="14">
                  <c:v>5.3183492052393184</c:v>
                </c:pt>
                <c:pt idx="15">
                  <c:v>5.5865578937601628</c:v>
                </c:pt>
                <c:pt idx="16">
                  <c:v>5.7492346865493706</c:v>
                </c:pt>
                <c:pt idx="17">
                  <c:v>5.8479031489997446</c:v>
                </c:pt>
                <c:pt idx="18">
                  <c:v>5.9077485966226009</c:v>
                </c:pt>
                <c:pt idx="19">
                  <c:v>5.9440466954500897</c:v>
                </c:pt>
                <c:pt idx="20">
                  <c:v>5.9660626052782408</c:v>
                </c:pt>
                <c:pt idx="21">
                  <c:v>5.9794159295904832</c:v>
                </c:pt>
                <c:pt idx="22">
                  <c:v>5.9875151301949447</c:v>
                </c:pt>
                <c:pt idx="23">
                  <c:v>5.992427543680714</c:v>
                </c:pt>
                <c:pt idx="24">
                  <c:v>5.995407073073018</c:v>
                </c:pt>
                <c:pt idx="25">
                  <c:v>5.9972142490009652</c:v>
                </c:pt>
                <c:pt idx="26">
                  <c:v>5.9983103566087603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68-4F30-A49E-F6303FCCCE11}"/>
            </c:ext>
          </c:extLst>
        </c:ser>
        <c:ser>
          <c:idx val="2"/>
          <c:order val="1"/>
          <c:tx>
            <c:strRef>
              <c:f>'SISO 1x1'!$E$16</c:f>
              <c:strCache>
                <c:ptCount val="1"/>
                <c:pt idx="0">
                  <c:v>Output Pred</c:v>
                </c:pt>
              </c:strCache>
            </c:strRef>
          </c:tx>
          <c:spPr>
            <a:ln w="19050" cap="rnd">
              <a:solidFill>
                <a:srgbClr val="FFC00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'SISO 1x1'!$B$17:$B$43</c:f>
              <c:numCache>
                <c:formatCode>General</c:formatCode>
                <c:ptCount val="2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</c:numCache>
            </c:numRef>
          </c:xVal>
          <c:yVal>
            <c:numRef>
              <c:f>'SISO 1x1'!$E$17:$E$43</c:f>
              <c:numCache>
                <c:formatCode>General</c:formatCode>
                <c:ptCount val="27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1.1804119387002405</c:v>
                </c:pt>
                <c:pt idx="5">
                  <c:v>1.8963644821366676</c:v>
                </c:pt>
                <c:pt idx="6">
                  <c:v>2.330613084628073</c:v>
                </c:pt>
                <c:pt idx="7">
                  <c:v>2.593995960173602</c:v>
                </c:pt>
                <c:pt idx="8">
                  <c:v>2.7537470874798267</c:v>
                </c:pt>
                <c:pt idx="9">
                  <c:v>2.8506395244697971</c:v>
                </c:pt>
                <c:pt idx="10">
                  <c:v>2.9094088627915982</c:v>
                </c:pt>
                <c:pt idx="11">
                  <c:v>2.9450531770266792</c:v>
                </c:pt>
                <c:pt idx="12">
                  <c:v>4.1470853541581123</c:v>
                </c:pt>
                <c:pt idx="13">
                  <c:v>4.8761504314684663</c:v>
                </c:pt>
                <c:pt idx="14">
                  <c:v>5.3183528570080369</c:v>
                </c:pt>
                <c:pt idx="15">
                  <c:v>5.5865593706430587</c:v>
                </c:pt>
                <c:pt idx="16">
                  <c:v>5.7492366926205589</c:v>
                </c:pt>
                <c:pt idx="17">
                  <c:v>5.8479035063257729</c:v>
                </c:pt>
                <c:pt idx="18">
                  <c:v>5.9077494457690278</c:v>
                </c:pt>
                <c:pt idx="19">
                  <c:v>5.9440464125965251</c:v>
                </c:pt>
                <c:pt idx="20">
                  <c:v>5.9660627980355292</c:v>
                </c:pt>
                <c:pt idx="21">
                  <c:v>5.9794153514797097</c:v>
                </c:pt>
                <c:pt idx="22">
                  <c:v>5.98751497550733</c:v>
                </c:pt>
                <c:pt idx="23">
                  <c:v>5.9924268532882383</c:v>
                </c:pt>
                <c:pt idx="24">
                  <c:v>5.9954067356607936</c:v>
                </c:pt>
                <c:pt idx="25">
                  <c:v>5.9972135297941751</c:v>
                </c:pt>
                <c:pt idx="26">
                  <c:v>5.9983099197477481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68-4F30-A49E-F6303FCCC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7490256"/>
        <c:axId val="1227484816"/>
      </c:scatterChart>
      <c:valAx>
        <c:axId val="1227490256"/>
        <c:scaling>
          <c:orientation val="minMax"/>
          <c:max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484816"/>
        <c:crosses val="autoZero"/>
        <c:crossBetween val="midCat"/>
      </c:valAx>
      <c:valAx>
        <c:axId val="122748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490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'MIMO 2x2'!$C$9</c:f>
              <c:strCache>
                <c:ptCount val="1"/>
                <c:pt idx="0">
                  <c:v>Input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'MIMO 2x2'!$B$10:$B$36</c:f>
              <c:numCache>
                <c:formatCode>General</c:formatCode>
                <c:ptCount val="2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</c:numCache>
            </c:numRef>
          </c:xVal>
          <c:yVal>
            <c:numRef>
              <c:f>'MIMO 2x2'!$C$10:$C$36</c:f>
              <c:numCache>
                <c:formatCode>General</c:formatCode>
                <c:ptCount val="27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EE-44BA-B149-92F1ADF845CE}"/>
            </c:ext>
          </c:extLst>
        </c:ser>
        <c:ser>
          <c:idx val="1"/>
          <c:order val="1"/>
          <c:tx>
            <c:strRef>
              <c:f>'MIMO 2x2'!$D$9</c:f>
              <c:strCache>
                <c:ptCount val="1"/>
                <c:pt idx="0">
                  <c:v>Input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'MIMO 2x2'!$B$10:$B$36</c:f>
              <c:numCache>
                <c:formatCode>General</c:formatCode>
                <c:ptCount val="2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</c:numCache>
            </c:numRef>
          </c:xVal>
          <c:yVal>
            <c:numRef>
              <c:f>'MIMO 2x2'!$D$10:$D$36</c:f>
              <c:numCache>
                <c:formatCode>General</c:formatCode>
                <c:ptCount val="27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9.8385062684558449</c:v>
                </c:pt>
                <c:pt idx="7">
                  <c:v>9.8385062684558449</c:v>
                </c:pt>
                <c:pt idx="8">
                  <c:v>9.8385062684558449</c:v>
                </c:pt>
                <c:pt idx="9">
                  <c:v>9.8385062684558449</c:v>
                </c:pt>
                <c:pt idx="10">
                  <c:v>9.8385062684558449</c:v>
                </c:pt>
                <c:pt idx="11">
                  <c:v>9.8385062684558449</c:v>
                </c:pt>
                <c:pt idx="12">
                  <c:v>9.8385062684558449</c:v>
                </c:pt>
                <c:pt idx="13">
                  <c:v>9.8385062684558449</c:v>
                </c:pt>
                <c:pt idx="14">
                  <c:v>1.8011042091804852</c:v>
                </c:pt>
                <c:pt idx="15">
                  <c:v>6.1905286455192297</c:v>
                </c:pt>
                <c:pt idx="16">
                  <c:v>9.5028730390516749</c:v>
                </c:pt>
                <c:pt idx="17">
                  <c:v>1.781191494567822</c:v>
                </c:pt>
                <c:pt idx="18">
                  <c:v>3.34069448085656</c:v>
                </c:pt>
                <c:pt idx="19">
                  <c:v>2.5327396599926679</c:v>
                </c:pt>
                <c:pt idx="20">
                  <c:v>6.3763942688414321</c:v>
                </c:pt>
                <c:pt idx="21">
                  <c:v>6.3763942688414321</c:v>
                </c:pt>
                <c:pt idx="22">
                  <c:v>6.3763942688414321</c:v>
                </c:pt>
                <c:pt idx="23">
                  <c:v>6.3763942688414321</c:v>
                </c:pt>
                <c:pt idx="24">
                  <c:v>6.3763942688414321</c:v>
                </c:pt>
                <c:pt idx="25">
                  <c:v>6.3763942688414321</c:v>
                </c:pt>
                <c:pt idx="26">
                  <c:v>6.3763942688414321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EE-44BA-B149-92F1ADF845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4536128"/>
        <c:axId val="933163040"/>
      </c:scatterChart>
      <c:valAx>
        <c:axId val="934536128"/>
        <c:scaling>
          <c:orientation val="minMax"/>
          <c:max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163040"/>
        <c:crosses val="autoZero"/>
        <c:crossBetween val="midCat"/>
      </c:valAx>
      <c:valAx>
        <c:axId val="93316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536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'MIMO 2x2'!$E$9</c:f>
              <c:strCache>
                <c:ptCount val="1"/>
                <c:pt idx="0">
                  <c:v>Output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'MIMO 2x2'!$B$10:$B$36</c:f>
              <c:numCache>
                <c:formatCode>General</c:formatCode>
                <c:ptCount val="2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</c:numCache>
            </c:numRef>
          </c:xVal>
          <c:yVal>
            <c:numRef>
              <c:f>'MIMO 2x2'!$E$10:$E$36</c:f>
              <c:numCache>
                <c:formatCode>General</c:formatCode>
                <c:ptCount val="27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5.9020401043104984</c:v>
                </c:pt>
                <c:pt idx="8">
                  <c:v>61.647026841054497</c:v>
                </c:pt>
                <c:pt idx="9">
                  <c:v>98.999294484750138</c:v>
                </c:pt>
                <c:pt idx="10">
                  <c:v>121.65459002044371</c:v>
                </c:pt>
                <c:pt idx="11">
                  <c:v>135.3957213676926</c:v>
                </c:pt>
                <c:pt idx="12">
                  <c:v>143.73013882893741</c:v>
                </c:pt>
                <c:pt idx="13">
                  <c:v>148.78521855002674</c:v>
                </c:pt>
                <c:pt idx="14">
                  <c:v>151.85127938815899</c:v>
                </c:pt>
                <c:pt idx="15">
                  <c:v>153.7109392910304</c:v>
                </c:pt>
                <c:pt idx="16">
                  <c:v>107.40181075044917</c:v>
                </c:pt>
                <c:pt idx="17">
                  <c:v>105.22046352412508</c:v>
                </c:pt>
                <c:pt idx="18">
                  <c:v>125.80781504352113</c:v>
                </c:pt>
                <c:pt idx="19">
                  <c:v>92.721000794058369</c:v>
                </c:pt>
                <c:pt idx="20">
                  <c:v>81.857082687410482</c:v>
                </c:pt>
                <c:pt idx="21">
                  <c:v>70.499201515911622</c:v>
                </c:pt>
                <c:pt idx="22">
                  <c:v>86.295702004568014</c:v>
                </c:pt>
                <c:pt idx="23">
                  <c:v>95.876763867103705</c:v>
                </c:pt>
                <c:pt idx="24">
                  <c:v>101.68797163933503</c:v>
                </c:pt>
                <c:pt idx="25">
                  <c:v>105.21264732315369</c:v>
                </c:pt>
                <c:pt idx="26">
                  <c:v>107.35047119093329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11-43CD-AB13-7996D05EE21F}"/>
            </c:ext>
          </c:extLst>
        </c:ser>
        <c:ser>
          <c:idx val="1"/>
          <c:order val="1"/>
          <c:tx>
            <c:strRef>
              <c:f>'MIMO 2x2'!$F$9</c:f>
              <c:strCache>
                <c:ptCount val="1"/>
                <c:pt idx="0">
                  <c:v>Output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'MIMO 2x2'!$B$10:$B$36</c:f>
              <c:numCache>
                <c:formatCode>General</c:formatCode>
                <c:ptCount val="2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</c:numCache>
            </c:numRef>
          </c:xVal>
          <c:yVal>
            <c:numRef>
              <c:f>'MIMO 2x2'!$F$10:$F$36</c:f>
              <c:numCache>
                <c:formatCode>General</c:formatCode>
                <c:ptCount val="27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-0.66359765078578536</c:v>
                </c:pt>
                <c:pt idx="7">
                  <c:v>-7.0456200170648362</c:v>
                </c:pt>
                <c:pt idx="8">
                  <c:v>-12.015944033502182</c:v>
                </c:pt>
                <c:pt idx="9">
                  <c:v>-16.882232745800877</c:v>
                </c:pt>
                <c:pt idx="10">
                  <c:v>-20.672102205590637</c:v>
                </c:pt>
                <c:pt idx="11">
                  <c:v>-23.623655508613304</c:v>
                </c:pt>
                <c:pt idx="12">
                  <c:v>-25.922327532284349</c:v>
                </c:pt>
                <c:pt idx="13">
                  <c:v>-27.712535104343686</c:v>
                </c:pt>
                <c:pt idx="14">
                  <c:v>-29.106750163323859</c:v>
                </c:pt>
                <c:pt idx="15">
                  <c:v>-24.858964818071598</c:v>
                </c:pt>
                <c:pt idx="16">
                  <c:v>-24.463598009126009</c:v>
                </c:pt>
                <c:pt idx="17">
                  <c:v>-26.353749986860343</c:v>
                </c:pt>
                <c:pt idx="18">
                  <c:v>-23.365309744994153</c:v>
                </c:pt>
                <c:pt idx="19">
                  <c:v>-22.072792662561287</c:v>
                </c:pt>
                <c:pt idx="20">
                  <c:v>-20.530022425563075</c:v>
                </c:pt>
                <c:pt idx="21">
                  <c:v>-21.879151925753611</c:v>
                </c:pt>
                <c:pt idx="22">
                  <c:v>-22.929855036966728</c:v>
                </c:pt>
                <c:pt idx="23">
                  <c:v>-23.748143442755065</c:v>
                </c:pt>
                <c:pt idx="24">
                  <c:v>-24.385427093961276</c:v>
                </c:pt>
                <c:pt idx="25">
                  <c:v>-24.881744100559274</c:v>
                </c:pt>
                <c:pt idx="26">
                  <c:v>-25.268276173949452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11-43CD-AB13-7996D05EE21F}"/>
            </c:ext>
          </c:extLst>
        </c:ser>
        <c:ser>
          <c:idx val="2"/>
          <c:order val="2"/>
          <c:tx>
            <c:strRef>
              <c:f>'MIMO 2x2'!$G$9</c:f>
              <c:strCache>
                <c:ptCount val="1"/>
                <c:pt idx="0">
                  <c:v>Output 1 Pred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'MIMO 2x2'!$B$10:$B$36</c:f>
              <c:numCache>
                <c:formatCode>General</c:formatCode>
                <c:ptCount val="2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</c:numCache>
            </c:numRef>
          </c:xVal>
          <c:yVal>
            <c:numRef>
              <c:f>'MIMO 2x2'!$G$10:$G$36</c:f>
              <c:numCache>
                <c:formatCode>General</c:formatCode>
                <c:ptCount val="27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-8.4514744171669217E-5</c:v>
                </c:pt>
                <c:pt idx="7">
                  <c:v>5.9015727017969901</c:v>
                </c:pt>
                <c:pt idx="8">
                  <c:v>61.649523068516942</c:v>
                </c:pt>
                <c:pt idx="9">
                  <c:v>98.999111469180946</c:v>
                </c:pt>
                <c:pt idx="10">
                  <c:v>121.65357976045331</c:v>
                </c:pt>
                <c:pt idx="11">
                  <c:v>135.39460884362788</c:v>
                </c:pt>
                <c:pt idx="12">
                  <c:v>143.72920659382601</c:v>
                </c:pt>
                <c:pt idx="13">
                  <c:v>148.78454264159365</c:v>
                </c:pt>
                <c:pt idx="14">
                  <c:v>151.850848097697</c:v>
                </c:pt>
                <c:pt idx="15">
                  <c:v>153.71138972040291</c:v>
                </c:pt>
                <c:pt idx="16">
                  <c:v>107.39911940437408</c:v>
                </c:pt>
                <c:pt idx="17">
                  <c:v>105.22124968737251</c:v>
                </c:pt>
                <c:pt idx="18">
                  <c:v>125.80993074898515</c:v>
                </c:pt>
                <c:pt idx="19">
                  <c:v>92.719120561357201</c:v>
                </c:pt>
                <c:pt idx="20">
                  <c:v>81.857385098720513</c:v>
                </c:pt>
                <c:pt idx="21">
                  <c:v>70.499071839779418</c:v>
                </c:pt>
                <c:pt idx="22">
                  <c:v>86.297174636229698</c:v>
                </c:pt>
                <c:pt idx="23">
                  <c:v>95.877260036975684</c:v>
                </c:pt>
                <c:pt idx="24">
                  <c:v>101.68804471314459</c:v>
                </c:pt>
                <c:pt idx="25">
                  <c:v>105.21256624609745</c:v>
                </c:pt>
                <c:pt idx="26">
                  <c:v>107.35035876958744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F11-43CD-AB13-7996D05EE21F}"/>
            </c:ext>
          </c:extLst>
        </c:ser>
        <c:ser>
          <c:idx val="3"/>
          <c:order val="3"/>
          <c:tx>
            <c:strRef>
              <c:f>'MIMO 2x2'!$H$9</c:f>
              <c:strCache>
                <c:ptCount val="1"/>
                <c:pt idx="0">
                  <c:v>Output 2 Pred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'MIMO 2x2'!$B$10:$B$36</c:f>
              <c:numCache>
                <c:formatCode>General</c:formatCode>
                <c:ptCount val="2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</c:numCache>
            </c:numRef>
          </c:xVal>
          <c:yVal>
            <c:numRef>
              <c:f>'MIMO 2x2'!$H$10:$H$36</c:f>
              <c:numCache>
                <c:formatCode>General</c:formatCode>
                <c:ptCount val="27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-0.6635830114839566</c:v>
                </c:pt>
                <c:pt idx="7">
                  <c:v>-7.0453613855290662</c:v>
                </c:pt>
                <c:pt idx="8">
                  <c:v>-12.014580880147022</c:v>
                </c:pt>
                <c:pt idx="9">
                  <c:v>-16.886931521670626</c:v>
                </c:pt>
                <c:pt idx="10">
                  <c:v>-20.674542063542226</c:v>
                </c:pt>
                <c:pt idx="11">
                  <c:v>-23.624689699424273</c:v>
                </c:pt>
                <c:pt idx="12">
                  <c:v>-25.922197376628652</c:v>
                </c:pt>
                <c:pt idx="13">
                  <c:v>-27.711464497964915</c:v>
                </c:pt>
                <c:pt idx="14">
                  <c:v>-29.104919696915939</c:v>
                </c:pt>
                <c:pt idx="15">
                  <c:v>-24.856638940048718</c:v>
                </c:pt>
                <c:pt idx="16">
                  <c:v>-24.461634930782733</c:v>
                </c:pt>
                <c:pt idx="17">
                  <c:v>-26.35157396299347</c:v>
                </c:pt>
                <c:pt idx="18">
                  <c:v>-23.367403722343969</c:v>
                </c:pt>
                <c:pt idx="19">
                  <c:v>-22.074368512550471</c:v>
                </c:pt>
                <c:pt idx="20">
                  <c:v>-20.531311609674034</c:v>
                </c:pt>
                <c:pt idx="21">
                  <c:v>-21.880255278486459</c:v>
                </c:pt>
                <c:pt idx="22">
                  <c:v>-22.930431182698108</c:v>
                </c:pt>
                <c:pt idx="23">
                  <c:v>-23.748314509331191</c:v>
                </c:pt>
                <c:pt idx="24">
                  <c:v>-24.385268898288587</c:v>
                </c:pt>
                <c:pt idx="25">
                  <c:v>-24.88131981580413</c:v>
                </c:pt>
                <c:pt idx="26">
                  <c:v>-25.267637072034226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F11-43CD-AB13-7996D05EE21F}"/>
            </c:ext>
          </c:extLst>
        </c:ser>
        <c:ser>
          <c:idx val="4"/>
          <c:order val="4"/>
          <c:tx>
            <c:strRef>
              <c:f>'MIMO 2x2'!$AW$9</c:f>
              <c:strCache>
                <c:ptCount val="1"/>
                <c:pt idx="0">
                  <c:v>out1</c:v>
                </c:pt>
              </c:strCache>
            </c:strRef>
          </c:tx>
          <c:spPr>
            <a:ln w="63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'MIMO 2x2'!$AT$11:$AT$36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'MIMO 2x2'!$AW$11:$AW$36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1.6673665446662003E-2</c:v>
                </c:pt>
                <c:pt idx="6">
                  <c:v>6.0430343029574836</c:v>
                </c:pt>
                <c:pt idx="7">
                  <c:v>61.590327383556442</c:v>
                </c:pt>
                <c:pt idx="8">
                  <c:v>98.810440970078687</c:v>
                </c:pt>
                <c:pt idx="9">
                  <c:v>121.55740124374708</c:v>
                </c:pt>
                <c:pt idx="10">
                  <c:v>135.35753214732824</c:v>
                </c:pt>
                <c:pt idx="11">
                  <c:v>143.72946737988093</c:v>
                </c:pt>
                <c:pt idx="12">
                  <c:v>148.80835286403737</c:v>
                </c:pt>
                <c:pt idx="13">
                  <c:v>151.88948966392149</c:v>
                </c:pt>
                <c:pt idx="14">
                  <c:v>153.6246671089275</c:v>
                </c:pt>
                <c:pt idx="15">
                  <c:v>107.58000156554964</c:v>
                </c:pt>
                <c:pt idx="16">
                  <c:v>105.30801839373973</c:v>
                </c:pt>
                <c:pt idx="17">
                  <c:v>125.55918030513629</c:v>
                </c:pt>
                <c:pt idx="18">
                  <c:v>92.728270984976987</c:v>
                </c:pt>
                <c:pt idx="19">
                  <c:v>81.801998075666191</c:v>
                </c:pt>
                <c:pt idx="20">
                  <c:v>70.525382144950825</c:v>
                </c:pt>
                <c:pt idx="21">
                  <c:v>86.226807436272182</c:v>
                </c:pt>
                <c:pt idx="22">
                  <c:v>95.826207595931976</c:v>
                </c:pt>
                <c:pt idx="23">
                  <c:v>101.64998529387749</c:v>
                </c:pt>
                <c:pt idx="24">
                  <c:v>105.18301628879557</c:v>
                </c:pt>
                <c:pt idx="25">
                  <c:v>107.32635105402758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7C-45FA-B01C-F3AF54475EA3}"/>
            </c:ext>
          </c:extLst>
        </c:ser>
        <c:ser>
          <c:idx val="5"/>
          <c:order val="5"/>
          <c:tx>
            <c:strRef>
              <c:f>'MIMO 2x2'!$AX$9</c:f>
              <c:strCache>
                <c:ptCount val="1"/>
                <c:pt idx="0">
                  <c:v>out2 </c:v>
                </c:pt>
              </c:strCache>
            </c:strRef>
          </c:tx>
          <c:spPr>
            <a:ln w="63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'MIMO 2x2'!$AT$11:$AT$36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'MIMO 2x2'!$AX$11:$AX$36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-0.66118004925479268</c:v>
                </c:pt>
                <c:pt idx="6">
                  <c:v>-7.0236095939754088</c:v>
                </c:pt>
                <c:pt idx="7">
                  <c:v>-12.010415938390119</c:v>
                </c:pt>
                <c:pt idx="8">
                  <c:v>-16.822709052753165</c:v>
                </c:pt>
                <c:pt idx="9">
                  <c:v>-20.642520867439881</c:v>
                </c:pt>
                <c:pt idx="10">
                  <c:v>-23.596874000702094</c:v>
                </c:pt>
                <c:pt idx="11">
                  <c:v>-25.909213869029472</c:v>
                </c:pt>
                <c:pt idx="12">
                  <c:v>-27.709166987206899</c:v>
                </c:pt>
                <c:pt idx="13">
                  <c:v>-29.113805124934132</c:v>
                </c:pt>
                <c:pt idx="14">
                  <c:v>-24.894510465644643</c:v>
                </c:pt>
                <c:pt idx="15">
                  <c:v>-24.482508479635158</c:v>
                </c:pt>
                <c:pt idx="16">
                  <c:v>-26.373259522048727</c:v>
                </c:pt>
                <c:pt idx="17">
                  <c:v>-23.366317050163566</c:v>
                </c:pt>
                <c:pt idx="18">
                  <c:v>-22.071338966246223</c:v>
                </c:pt>
                <c:pt idx="19">
                  <c:v>-20.525422452676082</c:v>
                </c:pt>
                <c:pt idx="20">
                  <c:v>-21.859585350617614</c:v>
                </c:pt>
                <c:pt idx="21">
                  <c:v>-22.912166215172554</c:v>
                </c:pt>
                <c:pt idx="22">
                  <c:v>-23.728526285091963</c:v>
                </c:pt>
                <c:pt idx="23">
                  <c:v>-24.366664092210151</c:v>
                </c:pt>
                <c:pt idx="24">
                  <c:v>-24.863690541234327</c:v>
                </c:pt>
                <c:pt idx="25">
                  <c:v>-25.251452481032072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7C-45FA-B01C-F3AF54475EA3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'MIMO 2x2'!$AT$40:$AT$65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'MIMO 2x2'!$AW$40:$AW$65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1.9151548590548482</c:v>
                </c:pt>
                <c:pt idx="6">
                  <c:v>20.528930529938794</c:v>
                </c:pt>
                <c:pt idx="7">
                  <c:v>36.92199101105539</c:v>
                </c:pt>
                <c:pt idx="8">
                  <c:v>52.331282895359358</c:v>
                </c:pt>
                <c:pt idx="9">
                  <c:v>65.902170301384388</c:v>
                </c:pt>
                <c:pt idx="10">
                  <c:v>77.853983945371809</c:v>
                </c:pt>
                <c:pt idx="11">
                  <c:v>88.379887307976162</c:v>
                </c:pt>
                <c:pt idx="12">
                  <c:v>97.649998514455916</c:v>
                </c:pt>
                <c:pt idx="13">
                  <c:v>105.81413975916894</c:v>
                </c:pt>
                <c:pt idx="14">
                  <c:v>97.611389102174243</c:v>
                </c:pt>
                <c:pt idx="15">
                  <c:v>98.793694569798078</c:v>
                </c:pt>
                <c:pt idx="16">
                  <c:v>106.1785976273743</c:v>
                </c:pt>
                <c:pt idx="17">
                  <c:v>98.542232300927296</c:v>
                </c:pt>
                <c:pt idx="18">
                  <c:v>94.803612721494332</c:v>
                </c:pt>
                <c:pt idx="19">
                  <c:v>89.963670285459699</c:v>
                </c:pt>
                <c:pt idx="20">
                  <c:v>93.062350640067578</c:v>
                </c:pt>
                <c:pt idx="21">
                  <c:v>95.791343154154461</c:v>
                </c:pt>
                <c:pt idx="22">
                  <c:v>98.194753409383793</c:v>
                </c:pt>
                <c:pt idx="23">
                  <c:v>100.31142497411847</c:v>
                </c:pt>
                <c:pt idx="24">
                  <c:v>102.17556718754547</c:v>
                </c:pt>
                <c:pt idx="25">
                  <c:v>103.81730804605986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E7C-45FA-B01C-F3AF54475EA3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'MIMO 2x2'!$AT$40:$AT$65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'MIMO 2x2'!$AX$40:$AX$65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-0.48641019501023447</c:v>
                </c:pt>
                <c:pt idx="6">
                  <c:v>-5.1936874688530645</c:v>
                </c:pt>
                <c:pt idx="7">
                  <c:v>-9.1434759720421894</c:v>
                </c:pt>
                <c:pt idx="8">
                  <c:v>-12.902418213953709</c:v>
                </c:pt>
                <c:pt idx="9">
                  <c:v>-16.056476491709155</c:v>
                </c:pt>
                <c:pt idx="10">
                  <c:v>-18.70298792478156</c:v>
                </c:pt>
                <c:pt idx="11">
                  <c:v>-20.923626273406907</c:v>
                </c:pt>
                <c:pt idx="12">
                  <c:v>-22.786922465428532</c:v>
                </c:pt>
                <c:pt idx="13">
                  <c:v>-24.350379523328797</c:v>
                </c:pt>
                <c:pt idx="14">
                  <c:v>-21.752772857000274</c:v>
                </c:pt>
                <c:pt idx="15">
                  <c:v>-21.70823038144642</c:v>
                </c:pt>
                <c:pt idx="16">
                  <c:v>-23.28201370395545</c:v>
                </c:pt>
                <c:pt idx="17">
                  <c:v>-21.143140242897601</c:v>
                </c:pt>
                <c:pt idx="18">
                  <c:v>-20.107009593642125</c:v>
                </c:pt>
                <c:pt idx="19">
                  <c:v>-18.844614242365761</c:v>
                </c:pt>
                <c:pt idx="20">
                  <c:v>-19.654954652478224</c:v>
                </c:pt>
                <c:pt idx="21">
                  <c:v>-20.334896166294946</c:v>
                </c:pt>
                <c:pt idx="22">
                  <c:v>-20.905422400013464</c:v>
                </c:pt>
                <c:pt idx="23">
                  <c:v>-21.384140314343917</c:v>
                </c:pt>
                <c:pt idx="24">
                  <c:v>-21.785823581399377</c:v>
                </c:pt>
                <c:pt idx="25">
                  <c:v>-22.122868513712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E7C-45FA-B01C-F3AF54475E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7485904"/>
        <c:axId val="1227494064"/>
      </c:scatterChart>
      <c:valAx>
        <c:axId val="1227485904"/>
        <c:scaling>
          <c:orientation val="minMax"/>
          <c:max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494064"/>
        <c:crosses val="autoZero"/>
        <c:crossBetween val="midCat"/>
      </c:valAx>
      <c:valAx>
        <c:axId val="122749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485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'MIMO 2x2'!$C$42</c:f>
              <c:strCache>
                <c:ptCount val="1"/>
                <c:pt idx="0">
                  <c:v>Input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'MIMO 2x2'!$B$43:$B$63</c:f>
              <c:numCache>
                <c:formatCode>General</c:formatCode>
                <c:ptCount val="21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</c:numCache>
            </c:numRef>
          </c:xVal>
          <c:yVal>
            <c:numRef>
              <c:f>'MIMO 2x2'!$C$43:$C$63</c:f>
              <c:numCache>
                <c:formatCode>General</c:formatCode>
                <c:ptCount val="2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33-44B1-94CE-83AB916A265F}"/>
            </c:ext>
          </c:extLst>
        </c:ser>
        <c:ser>
          <c:idx val="1"/>
          <c:order val="1"/>
          <c:tx>
            <c:strRef>
              <c:f>'MIMO 2x2'!$D$42</c:f>
              <c:strCache>
                <c:ptCount val="1"/>
                <c:pt idx="0">
                  <c:v>Input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'MIMO 2x2'!$B$43:$B$63</c:f>
              <c:numCache>
                <c:formatCode>General</c:formatCode>
                <c:ptCount val="21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</c:numCache>
            </c:numRef>
          </c:xVal>
          <c:yVal>
            <c:numRef>
              <c:f>'MIMO 2x2'!$D$43:$D$63</c:f>
              <c:numCache>
                <c:formatCode>General</c:formatCode>
                <c:ptCount val="2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33-44B1-94CE-83AB916A26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7487536"/>
        <c:axId val="1227492976"/>
      </c:scatterChart>
      <c:valAx>
        <c:axId val="1227487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492976"/>
        <c:crosses val="autoZero"/>
        <c:crossBetween val="midCat"/>
      </c:valAx>
      <c:valAx>
        <c:axId val="122749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487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'MIMO 2x2'!$E$42</c:f>
              <c:strCache>
                <c:ptCount val="1"/>
                <c:pt idx="0">
                  <c:v>Output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'MIMO 2x2'!$B$43:$B$63</c:f>
              <c:numCache>
                <c:formatCode>General</c:formatCode>
                <c:ptCount val="21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</c:numCache>
            </c:numRef>
          </c:xVal>
          <c:yVal>
            <c:numRef>
              <c:f>'MIMO 2x2'!$E$43:$E$63</c:f>
              <c:numCache>
                <c:formatCode>General</c:formatCode>
                <c:ptCount val="2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1.1804080208620997</c:v>
                </c:pt>
                <c:pt idx="7">
                  <c:v>1.896361676485673</c:v>
                </c:pt>
                <c:pt idx="8">
                  <c:v>2.3306095195547103</c:v>
                </c:pt>
                <c:pt idx="9">
                  <c:v>2.593994150290162</c:v>
                </c:pt>
                <c:pt idx="10">
                  <c:v>2.7537450041283034</c:v>
                </c:pt>
                <c:pt idx="11">
                  <c:v>2.8506387948964083</c:v>
                </c:pt>
                <c:pt idx="12">
                  <c:v>2.9094078497330447</c:v>
                </c:pt>
                <c:pt idx="13">
                  <c:v>2.9450530833337973</c:v>
                </c:pt>
                <c:pt idx="14">
                  <c:v>8.8687131146957725</c:v>
                </c:pt>
                <c:pt idx="15">
                  <c:v>12.461594541431108</c:v>
                </c:pt>
                <c:pt idx="16">
                  <c:v>14.64078728345816</c:v>
                </c:pt>
                <c:pt idx="17">
                  <c:v>15.96253449492081</c:v>
                </c:pt>
                <c:pt idx="18">
                  <c:v>16.764214703062585</c:v>
                </c:pt>
                <c:pt idx="19">
                  <c:v>17.250458328585378</c:v>
                </c:pt>
                <c:pt idx="20">
                  <c:v>17.545379995554779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43-4B64-B195-9A06778FF88B}"/>
            </c:ext>
          </c:extLst>
        </c:ser>
        <c:ser>
          <c:idx val="1"/>
          <c:order val="1"/>
          <c:tx>
            <c:strRef>
              <c:f>'MIMO 2x2'!$F$42</c:f>
              <c:strCache>
                <c:ptCount val="1"/>
                <c:pt idx="0">
                  <c:v>Output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'MIMO 2x2'!$B$43:$B$63</c:f>
              <c:numCache>
                <c:formatCode>General</c:formatCode>
                <c:ptCount val="21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</c:numCache>
            </c:numRef>
          </c:xVal>
          <c:yVal>
            <c:numRef>
              <c:f>'MIMO 2x2'!$F$43:$F$63</c:f>
              <c:numCache>
                <c:formatCode>General</c:formatCode>
                <c:ptCount val="2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-0.33179882539289268</c:v>
                </c:pt>
                <c:pt idx="7">
                  <c:v>-0.59020401043104986</c:v>
                </c:pt>
                <c:pt idx="8">
                  <c:v>-0.79145017088847791</c:v>
                </c:pt>
                <c:pt idx="9">
                  <c:v>-0.9481808382428365</c:v>
                </c:pt>
                <c:pt idx="10">
                  <c:v>-1.0702428047097148</c:v>
                </c:pt>
                <c:pt idx="11">
                  <c:v>-1.1653047597773551</c:v>
                </c:pt>
                <c:pt idx="12">
                  <c:v>-1.2393390848243322</c:v>
                </c:pt>
                <c:pt idx="13">
                  <c:v>-1.960594725930866</c:v>
                </c:pt>
                <c:pt idx="14">
                  <c:v>-2.5223091840193028</c:v>
                </c:pt>
                <c:pt idx="15">
                  <c:v>-2.9597728438411073</c:v>
                </c:pt>
                <c:pt idx="16">
                  <c:v>-3.3004698846756115</c:v>
                </c:pt>
                <c:pt idx="17">
                  <c:v>-3.5658050068676337</c:v>
                </c:pt>
                <c:pt idx="18">
                  <c:v>-3.7724482078071278</c:v>
                </c:pt>
                <c:pt idx="19">
                  <c:v>-3.9333820945151872</c:v>
                </c:pt>
                <c:pt idx="20">
                  <c:v>-4.0587175315061481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43-4B64-B195-9A06778FF88B}"/>
            </c:ext>
          </c:extLst>
        </c:ser>
        <c:ser>
          <c:idx val="2"/>
          <c:order val="2"/>
          <c:tx>
            <c:strRef>
              <c:f>'MIMO 2x2'!$G$42</c:f>
              <c:strCache>
                <c:ptCount val="1"/>
                <c:pt idx="0">
                  <c:v>Output 1 Pred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'MIMO 2x2'!$B$43:$B$63</c:f>
              <c:numCache>
                <c:formatCode>General</c:formatCode>
                <c:ptCount val="21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</c:numCache>
            </c:numRef>
          </c:xVal>
          <c:yVal>
            <c:numRef>
              <c:f>'MIMO 2x2'!$G$43:$G$63</c:f>
              <c:numCache>
                <c:formatCode>General</c:formatCode>
                <c:ptCount val="2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1.1802949377926919</c:v>
                </c:pt>
                <c:pt idx="7">
                  <c:v>1.8962470379703151</c:v>
                </c:pt>
                <c:pt idx="8">
                  <c:v>2.3305065584859443</c:v>
                </c:pt>
                <c:pt idx="9">
                  <c:v>2.5939059298713825</c:v>
                </c:pt>
                <c:pt idx="10">
                  <c:v>2.7536703692640927</c:v>
                </c:pt>
                <c:pt idx="11">
                  <c:v>2.8505752174427776</c:v>
                </c:pt>
                <c:pt idx="12">
                  <c:v>2.909352687799942</c:v>
                </c:pt>
                <c:pt idx="13">
                  <c:v>2.9449195474350685</c:v>
                </c:pt>
                <c:pt idx="14">
                  <c:v>8.8689480283860576</c:v>
                </c:pt>
                <c:pt idx="15">
                  <c:v>12.461578039149504</c:v>
                </c:pt>
                <c:pt idx="16">
                  <c:v>14.640681700539599</c:v>
                </c:pt>
                <c:pt idx="17">
                  <c:v>15.962413309115366</c:v>
                </c:pt>
                <c:pt idx="18">
                  <c:v>16.764107361614563</c:v>
                </c:pt>
                <c:pt idx="19">
                  <c:v>17.250373521584166</c:v>
                </c:pt>
                <c:pt idx="20">
                  <c:v>17.54531743141418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F43-4B64-B195-9A06778FF88B}"/>
            </c:ext>
          </c:extLst>
        </c:ser>
        <c:ser>
          <c:idx val="3"/>
          <c:order val="3"/>
          <c:tx>
            <c:strRef>
              <c:f>'MIMO 2x2'!$H$42</c:f>
              <c:strCache>
                <c:ptCount val="1"/>
                <c:pt idx="0">
                  <c:v>Output 2 Pred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'MIMO 2x2'!$B$43:$B$63</c:f>
              <c:numCache>
                <c:formatCode>General</c:formatCode>
                <c:ptCount val="21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</c:numCache>
            </c:numRef>
          </c:xVal>
          <c:yVal>
            <c:numRef>
              <c:f>'MIMO 2x2'!$H$43:$H$63</c:f>
              <c:numCache>
                <c:formatCode>General</c:formatCode>
                <c:ptCount val="2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-0.33411529453274391</c:v>
                </c:pt>
                <c:pt idx="7">
                  <c:v>-0.592018581252447</c:v>
                </c:pt>
                <c:pt idx="8">
                  <c:v>-0.79300702123506295</c:v>
                </c:pt>
                <c:pt idx="9">
                  <c:v>-0.94952573419346353</c:v>
                </c:pt>
                <c:pt idx="10">
                  <c:v>-1.0714207247827738</c:v>
                </c:pt>
                <c:pt idx="11">
                  <c:v>-1.1663507467172396</c:v>
                </c:pt>
                <c:pt idx="12">
                  <c:v>-1.2402808728455601</c:v>
                </c:pt>
                <c:pt idx="13">
                  <c:v>-1.9614395943147969</c:v>
                </c:pt>
                <c:pt idx="14">
                  <c:v>-2.5229744896933752</c:v>
                </c:pt>
                <c:pt idx="15">
                  <c:v>-2.9602952678383971</c:v>
                </c:pt>
                <c:pt idx="16">
                  <c:v>-3.3008740173870343</c:v>
                </c:pt>
                <c:pt idx="17">
                  <c:v>-3.566111828123911</c:v>
                </c:pt>
                <c:pt idx="18">
                  <c:v>-3.7726751874531796</c:v>
                </c:pt>
                <c:pt idx="19">
                  <c:v>-3.9335437361707317</c:v>
                </c:pt>
                <c:pt idx="20">
                  <c:v>-4.0588258289795265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F43-4B64-B195-9A06778FF8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7481552"/>
        <c:axId val="1227492432"/>
      </c:scatterChart>
      <c:valAx>
        <c:axId val="1227481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492432"/>
        <c:crosses val="autoZero"/>
        <c:crossBetween val="midCat"/>
      </c:valAx>
      <c:valAx>
        <c:axId val="1227492432"/>
        <c:scaling>
          <c:orientation val="minMax"/>
          <c:max val="20"/>
          <c:min val="-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481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342900</xdr:colOff>
      <xdr:row>15</xdr:row>
      <xdr:rowOff>14287</xdr:rowOff>
    </xdr:from>
    <xdr:to>
      <xdr:col>12</xdr:col>
      <xdr:colOff>381000</xdr:colOff>
      <xdr:row>29</xdr:row>
      <xdr:rowOff>90487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342901</xdr:colOff>
      <xdr:row>29</xdr:row>
      <xdr:rowOff>138112</xdr:rowOff>
    </xdr:from>
    <xdr:to>
      <xdr:col>12</xdr:col>
      <xdr:colOff>371476</xdr:colOff>
      <xdr:row>44</xdr:row>
      <xdr:rowOff>23812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342900</xdr:colOff>
      <xdr:row>8</xdr:row>
      <xdr:rowOff>14287</xdr:rowOff>
    </xdr:from>
    <xdr:to>
      <xdr:col>18</xdr:col>
      <xdr:colOff>38100</xdr:colOff>
      <xdr:row>22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342900</xdr:colOff>
      <xdr:row>22</xdr:row>
      <xdr:rowOff>138112</xdr:rowOff>
    </xdr:from>
    <xdr:to>
      <xdr:col>18</xdr:col>
      <xdr:colOff>38100</xdr:colOff>
      <xdr:row>37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342900</xdr:colOff>
      <xdr:row>41</xdr:row>
      <xdr:rowOff>71437</xdr:rowOff>
    </xdr:from>
    <xdr:to>
      <xdr:col>17</xdr:col>
      <xdr:colOff>276225</xdr:colOff>
      <xdr:row>55</xdr:row>
      <xdr:rowOff>147637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342900</xdr:colOff>
      <xdr:row>56</xdr:row>
      <xdr:rowOff>61912</xdr:rowOff>
    </xdr:from>
    <xdr:to>
      <xdr:col>17</xdr:col>
      <xdr:colOff>276225</xdr:colOff>
      <xdr:row>70</xdr:row>
      <xdr:rowOff>138112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AB45"/>
  <sheetViews>
    <sheetView tabSelected="1" topLeftCell="A7" workbookViewId="0">
      <selection activeCell="Q10" sqref="Q10"/>
    </sheetView>
  </sheetViews>
  <sheetFormatPr baseColWidth="10" defaultColWidth="11.109375" defaultRowHeight="14.4" x14ac:dyDescent="0.3"/>
  <cols>
    <col min="2" max="2" width="14.77734375" bestFit="1" customWidth="1"/>
    <col min="5" max="5" width="13.88671875" bestFit="1" customWidth="1"/>
    <col min="6" max="6" width="12" bestFit="1" customWidth="1"/>
    <col min="8" max="8" width="13.88671875" bestFit="1" customWidth="1"/>
  </cols>
  <sheetData>
    <row r="1" spans="1:28" x14ac:dyDescent="0.3">
      <c r="A1" s="3" t="s">
        <v>42</v>
      </c>
    </row>
    <row r="2" spans="1:28" x14ac:dyDescent="0.3">
      <c r="A2" s="3" t="s">
        <v>44</v>
      </c>
    </row>
    <row r="3" spans="1:28" x14ac:dyDescent="0.3">
      <c r="A3" s="3" t="s">
        <v>41</v>
      </c>
      <c r="B3" t="s">
        <v>45</v>
      </c>
    </row>
    <row r="4" spans="1:28" x14ac:dyDescent="0.3">
      <c r="A4" s="3"/>
      <c r="B4" t="s">
        <v>46</v>
      </c>
    </row>
    <row r="5" spans="1:28" x14ac:dyDescent="0.3">
      <c r="A5" s="3" t="s">
        <v>43</v>
      </c>
    </row>
    <row r="6" spans="1:28" x14ac:dyDescent="0.3">
      <c r="A6" s="3" t="s">
        <v>39</v>
      </c>
      <c r="B6" t="s">
        <v>40</v>
      </c>
      <c r="L6" s="23"/>
    </row>
    <row r="7" spans="1:28" x14ac:dyDescent="0.3">
      <c r="A7" s="3" t="s">
        <v>37</v>
      </c>
      <c r="B7" t="s">
        <v>38</v>
      </c>
    </row>
    <row r="8" spans="1:28" x14ac:dyDescent="0.3">
      <c r="A8" s="3" t="s">
        <v>35</v>
      </c>
      <c r="B8" t="s">
        <v>36</v>
      </c>
    </row>
    <row r="9" spans="1:28" ht="15" thickBot="1" x14ac:dyDescent="0.35">
      <c r="B9" s="3"/>
    </row>
    <row r="10" spans="1:28" x14ac:dyDescent="0.3">
      <c r="A10" s="25" t="s">
        <v>23</v>
      </c>
      <c r="B10" s="4" t="s">
        <v>30</v>
      </c>
      <c r="C10" s="1" t="s">
        <v>12</v>
      </c>
      <c r="E10" s="28" t="s">
        <v>24</v>
      </c>
      <c r="F10" s="1"/>
      <c r="H10" s="28" t="s">
        <v>25</v>
      </c>
      <c r="I10" s="1"/>
      <c r="O10" s="3"/>
      <c r="P10" s="3"/>
      <c r="T10" s="3"/>
      <c r="U10" s="3"/>
    </row>
    <row r="11" spans="1:28" x14ac:dyDescent="0.3">
      <c r="A11" s="5" t="s">
        <v>9</v>
      </c>
      <c r="B11" s="24">
        <v>0</v>
      </c>
      <c r="C11" s="26">
        <v>0</v>
      </c>
      <c r="E11" s="5" t="s">
        <v>27</v>
      </c>
      <c r="F11" s="29">
        <f>SUM(B11:B13)/(1-SUM(C11:C13))</f>
        <v>2.9999996912786284</v>
      </c>
      <c r="H11" s="5" t="s">
        <v>27</v>
      </c>
      <c r="I11" s="30">
        <v>3</v>
      </c>
    </row>
    <row r="12" spans="1:28" x14ac:dyDescent="0.3">
      <c r="A12" s="5" t="s">
        <v>8</v>
      </c>
      <c r="B12" s="24">
        <v>1.0260199063312698</v>
      </c>
      <c r="C12" s="26">
        <v>0.52719989345862839</v>
      </c>
      <c r="E12" s="5" t="s">
        <v>28</v>
      </c>
      <c r="F12" s="6"/>
      <c r="H12" s="5" t="s">
        <v>28</v>
      </c>
      <c r="I12" s="30">
        <v>2</v>
      </c>
      <c r="M12" s="23"/>
    </row>
    <row r="13" spans="1:28" ht="15" thickBot="1" x14ac:dyDescent="0.35">
      <c r="A13" s="2" t="s">
        <v>7</v>
      </c>
      <c r="B13" s="36">
        <v>1.1804119387002405</v>
      </c>
      <c r="C13" s="27">
        <v>-0.26267725082165805</v>
      </c>
      <c r="E13" s="2" t="s">
        <v>29</v>
      </c>
      <c r="F13" s="31" t="s">
        <v>47</v>
      </c>
      <c r="H13" s="2" t="s">
        <v>29</v>
      </c>
      <c r="I13" s="16">
        <v>0</v>
      </c>
      <c r="M13">
        <v>1.1803925588701505</v>
      </c>
      <c r="N13">
        <v>0.60653486533886869</v>
      </c>
      <c r="O13" t="s">
        <v>50</v>
      </c>
    </row>
    <row r="14" spans="1:28" x14ac:dyDescent="0.3">
      <c r="M14" cm="1">
        <f t="array" ref="M14:N14">TRANSPOSE(_xlfn.ANCHORARRAY(T17))</f>
        <v>1.1286626609739983</v>
      </c>
      <c r="N14">
        <v>0.63176008919172244</v>
      </c>
      <c r="O14" t="s">
        <v>51</v>
      </c>
      <c r="AB14">
        <f>(SUM(AB17:AB18)/(1-SUM(AB19:AB20)))</f>
        <v>2.6828183668538559</v>
      </c>
    </row>
    <row r="15" spans="1:28" x14ac:dyDescent="0.3">
      <c r="T15">
        <f>T17/(1-T18)</f>
        <v>3.0650199173050292</v>
      </c>
    </row>
    <row r="16" spans="1:28" x14ac:dyDescent="0.3">
      <c r="B16" s="3" t="s">
        <v>0</v>
      </c>
      <c r="C16" s="3" t="s">
        <v>31</v>
      </c>
      <c r="D16" s="3" t="s">
        <v>32</v>
      </c>
      <c r="E16" s="3" t="s">
        <v>33</v>
      </c>
      <c r="F16" s="3" t="s">
        <v>34</v>
      </c>
      <c r="G16" s="3"/>
    </row>
    <row r="17" spans="2:28" x14ac:dyDescent="0.3">
      <c r="O17" cm="1">
        <f t="array" ref="O17:P41">C18:D42</f>
        <v>0</v>
      </c>
      <c r="P17">
        <v>0</v>
      </c>
      <c r="R17" cm="1">
        <f t="array" ref="R17:R41">D19:D43</f>
        <v>0</v>
      </c>
      <c r="T17" cm="1">
        <f t="array" ref="T17:T18">MMULT(MMULT(MINVERSE(MMULT(TRANSPOSE(_xlfn.ANCHORARRAY(O17)),_xlfn.ANCHORARRAY(O17))),TRANSPOSE(_xlfn.ANCHORARRAY(O17))),_xlfn.ANCHORARRAY(R17))</f>
        <v>1.1286626609739983</v>
      </c>
      <c r="V17">
        <v>0</v>
      </c>
      <c r="W17" cm="1">
        <f t="array" ref="W17:W41">C18:C42</f>
        <v>0</v>
      </c>
      <c r="X17">
        <v>0</v>
      </c>
      <c r="Y17" cm="1">
        <f t="array" ref="Y17:Y41">D18:D42</f>
        <v>0</v>
      </c>
      <c r="AA17" t="s">
        <v>55</v>
      </c>
      <c r="AB17" cm="1">
        <f t="array" ref="AB17:AB20">MMULT(MMULT(MINVERSE(MMULT(TRANSPOSE(V17:Y41),V17:Y41)),TRANSPOSE(V17:Y41)),_xlfn.ANCHORARRAY(R17))</f>
        <v>-1.9292961000288686</v>
      </c>
    </row>
    <row r="18" spans="2:28" x14ac:dyDescent="0.3">
      <c r="B18">
        <v>0</v>
      </c>
      <c r="C18">
        <v>0</v>
      </c>
      <c r="D18">
        <f t="shared" ref="D18:D43" si="0">EXP(-1/$I$12)*D17+$I$11*(1-EXP(-1/$I$12))*C18</f>
        <v>0</v>
      </c>
      <c r="E18">
        <v>0</v>
      </c>
      <c r="F18">
        <f>(E18-D18)^2</f>
        <v>0</v>
      </c>
      <c r="O18">
        <v>0</v>
      </c>
      <c r="P18">
        <v>0</v>
      </c>
      <c r="R18">
        <v>0</v>
      </c>
      <c r="T18">
        <v>0.63176008919172244</v>
      </c>
      <c r="V18" cm="1">
        <f t="array" ref="V18:V41">C18:C41</f>
        <v>0</v>
      </c>
      <c r="W18">
        <v>0</v>
      </c>
      <c r="X18" cm="1">
        <f t="array" ref="X18:X41">D18:D41</f>
        <v>0</v>
      </c>
      <c r="Y18">
        <v>0</v>
      </c>
      <c r="AA18" t="s">
        <v>54</v>
      </c>
      <c r="AB18">
        <v>-1.8122559672668022</v>
      </c>
    </row>
    <row r="19" spans="2:28" x14ac:dyDescent="0.3">
      <c r="B19">
        <v>1</v>
      </c>
      <c r="C19">
        <v>0</v>
      </c>
      <c r="D19">
        <f t="shared" si="0"/>
        <v>0</v>
      </c>
      <c r="E19">
        <v>0</v>
      </c>
      <c r="F19">
        <f t="shared" ref="F19:F43" si="1">(E19-D19)^2</f>
        <v>0</v>
      </c>
      <c r="O19">
        <v>0</v>
      </c>
      <c r="P19">
        <v>0</v>
      </c>
      <c r="R19">
        <v>1.1804080208620997</v>
      </c>
      <c r="V19">
        <v>0</v>
      </c>
      <c r="W19">
        <v>0</v>
      </c>
      <c r="X19">
        <v>0</v>
      </c>
      <c r="Y19">
        <v>0</v>
      </c>
      <c r="AA19" t="s">
        <v>57</v>
      </c>
      <c r="AB19">
        <v>-2.072403707571294</v>
      </c>
    </row>
    <row r="20" spans="2:28" x14ac:dyDescent="0.3">
      <c r="B20">
        <v>2</v>
      </c>
      <c r="C20">
        <v>0</v>
      </c>
      <c r="D20">
        <f>EXP(-1/$I$12)*D19+$I$11*(1-EXP(-1/$I$12))*C20</f>
        <v>0</v>
      </c>
      <c r="E20">
        <f>($B$13*C20+$B$12*C19+$B$11*C18)+($C$13*E19+$C$12*E18+$C$11*E17)</f>
        <v>0</v>
      </c>
      <c r="F20">
        <f t="shared" si="1"/>
        <v>0</v>
      </c>
      <c r="O20">
        <v>1</v>
      </c>
      <c r="P20">
        <v>1.1804080208620997</v>
      </c>
      <c r="R20">
        <v>1.896361676485673</v>
      </c>
      <c r="V20">
        <v>0</v>
      </c>
      <c r="W20">
        <v>1</v>
      </c>
      <c r="X20">
        <v>0</v>
      </c>
      <c r="Y20">
        <v>1.1804080208620997</v>
      </c>
      <c r="AA20" t="s">
        <v>56</v>
      </c>
      <c r="AB20">
        <v>4.4670385861461686</v>
      </c>
    </row>
    <row r="21" spans="2:28" x14ac:dyDescent="0.3">
      <c r="B21">
        <v>3</v>
      </c>
      <c r="C21">
        <v>1</v>
      </c>
      <c r="D21">
        <f>EXP(-1/$I$12)*D20+$I$11*(1-EXP(-1/$I$12))*C21</f>
        <v>1.1804080208620997</v>
      </c>
      <c r="E21">
        <f>($B$13*C21+$B$12*C20+$B$11*C19)+($C$13*E20+$C$12*E19+$C$11*E18)</f>
        <v>1.1804119387002405</v>
      </c>
      <c r="F21">
        <f t="shared" si="1"/>
        <v>1.5349455697498854E-11</v>
      </c>
      <c r="O21">
        <v>1</v>
      </c>
      <c r="P21">
        <v>1.896361676485673</v>
      </c>
      <c r="R21">
        <v>2.3306095195547103</v>
      </c>
      <c r="V21">
        <v>1</v>
      </c>
      <c r="W21">
        <v>1</v>
      </c>
      <c r="X21">
        <v>1.1804080208620997</v>
      </c>
      <c r="Y21">
        <v>1.896361676485673</v>
      </c>
    </row>
    <row r="22" spans="2:28" x14ac:dyDescent="0.3">
      <c r="B22">
        <v>4</v>
      </c>
      <c r="C22">
        <v>1</v>
      </c>
      <c r="D22">
        <f t="shared" si="0"/>
        <v>1.896361676485673</v>
      </c>
      <c r="E22">
        <f t="shared" ref="E22:E43" si="2">($B$13*C22+$B$12*C21+$B$11*C20)+($C$13*E21+$C$12*E20+$C$11*E19)</f>
        <v>1.8963644821366676</v>
      </c>
      <c r="F22">
        <f t="shared" si="1"/>
        <v>7.8716775037339337E-12</v>
      </c>
      <c r="O22">
        <v>1</v>
      </c>
      <c r="P22">
        <v>2.3306095195547103</v>
      </c>
      <c r="R22">
        <v>2.593994150290162</v>
      </c>
      <c r="V22">
        <v>1</v>
      </c>
      <c r="W22">
        <v>1</v>
      </c>
      <c r="X22">
        <v>1.896361676485673</v>
      </c>
      <c r="Y22">
        <v>2.3306095195547103</v>
      </c>
    </row>
    <row r="23" spans="2:28" x14ac:dyDescent="0.3">
      <c r="B23">
        <v>5</v>
      </c>
      <c r="C23">
        <v>1</v>
      </c>
      <c r="D23">
        <f t="shared" si="0"/>
        <v>2.3306095195547103</v>
      </c>
      <c r="E23">
        <f t="shared" si="2"/>
        <v>2.330613084628073</v>
      </c>
      <c r="F23">
        <f t="shared" si="1"/>
        <v>1.2709748081743076E-11</v>
      </c>
      <c r="O23">
        <v>1</v>
      </c>
      <c r="P23">
        <v>2.593994150290162</v>
      </c>
      <c r="R23">
        <v>2.7537450041283034</v>
      </c>
      <c r="V23">
        <v>1</v>
      </c>
      <c r="W23">
        <v>1</v>
      </c>
      <c r="X23">
        <v>2.3306095195547103</v>
      </c>
      <c r="Y23">
        <v>2.593994150290162</v>
      </c>
    </row>
    <row r="24" spans="2:28" x14ac:dyDescent="0.3">
      <c r="B24">
        <v>6</v>
      </c>
      <c r="C24">
        <v>1</v>
      </c>
      <c r="D24">
        <f t="shared" si="0"/>
        <v>2.593994150290162</v>
      </c>
      <c r="E24">
        <f t="shared" si="2"/>
        <v>2.593995960173602</v>
      </c>
      <c r="F24">
        <f>(E24-D24)^2</f>
        <v>3.2756780664119283E-12</v>
      </c>
      <c r="O24">
        <v>1</v>
      </c>
      <c r="P24">
        <v>2.7537450041283034</v>
      </c>
      <c r="R24">
        <v>2.8506387948964083</v>
      </c>
      <c r="V24">
        <v>1</v>
      </c>
      <c r="W24">
        <v>1</v>
      </c>
      <c r="X24">
        <v>2.593994150290162</v>
      </c>
      <c r="Y24">
        <v>2.7537450041283034</v>
      </c>
    </row>
    <row r="25" spans="2:28" x14ac:dyDescent="0.3">
      <c r="B25">
        <v>7</v>
      </c>
      <c r="C25">
        <v>1</v>
      </c>
      <c r="D25">
        <f t="shared" si="0"/>
        <v>2.7537450041283034</v>
      </c>
      <c r="E25">
        <f t="shared" si="2"/>
        <v>2.7537470874798267</v>
      </c>
      <c r="F25">
        <f t="shared" si="1"/>
        <v>4.3403535696219651E-12</v>
      </c>
      <c r="O25">
        <v>1</v>
      </c>
      <c r="P25">
        <v>2.8506387948964083</v>
      </c>
      <c r="R25">
        <v>2.9094078497330447</v>
      </c>
      <c r="V25">
        <v>1</v>
      </c>
      <c r="W25">
        <v>1</v>
      </c>
      <c r="X25">
        <v>2.7537450041283034</v>
      </c>
      <c r="Y25">
        <v>2.8506387948964083</v>
      </c>
    </row>
    <row r="26" spans="2:28" x14ac:dyDescent="0.3">
      <c r="B26">
        <v>8</v>
      </c>
      <c r="C26">
        <v>1</v>
      </c>
      <c r="D26">
        <f t="shared" si="0"/>
        <v>2.8506387948964083</v>
      </c>
      <c r="E26">
        <f t="shared" si="2"/>
        <v>2.8506395244697971</v>
      </c>
      <c r="F26">
        <f t="shared" si="1"/>
        <v>5.3227732966484407E-13</v>
      </c>
      <c r="O26">
        <v>1</v>
      </c>
      <c r="P26">
        <v>2.9094078497330447</v>
      </c>
      <c r="R26">
        <v>2.9450530833337973</v>
      </c>
      <c r="V26">
        <v>1</v>
      </c>
      <c r="W26">
        <v>1</v>
      </c>
      <c r="X26">
        <v>2.8506387948964083</v>
      </c>
      <c r="Y26">
        <v>2.9094078497330447</v>
      </c>
    </row>
    <row r="27" spans="2:28" x14ac:dyDescent="0.3">
      <c r="B27">
        <v>9</v>
      </c>
      <c r="C27">
        <v>1</v>
      </c>
      <c r="D27">
        <f t="shared" si="0"/>
        <v>2.9094078497330447</v>
      </c>
      <c r="E27">
        <f t="shared" si="2"/>
        <v>2.9094088627915982</v>
      </c>
      <c r="F27">
        <f t="shared" si="1"/>
        <v>1.0262876327983255E-12</v>
      </c>
      <c r="O27">
        <v>1</v>
      </c>
      <c r="P27">
        <v>2.9450530833337973</v>
      </c>
      <c r="R27">
        <v>4.1470810312473727</v>
      </c>
      <c r="V27">
        <v>1</v>
      </c>
      <c r="W27">
        <v>1</v>
      </c>
      <c r="X27">
        <v>2.9094078497330447</v>
      </c>
      <c r="Y27">
        <v>2.9450530833337973</v>
      </c>
    </row>
    <row r="28" spans="2:28" x14ac:dyDescent="0.3">
      <c r="B28">
        <v>10</v>
      </c>
      <c r="C28">
        <v>1</v>
      </c>
      <c r="D28">
        <f t="shared" si="0"/>
        <v>2.9450530833337973</v>
      </c>
      <c r="E28">
        <f t="shared" si="2"/>
        <v>2.9450531770266792</v>
      </c>
      <c r="F28">
        <f t="shared" si="1"/>
        <v>8.7783561182235618E-15</v>
      </c>
      <c r="O28">
        <v>2</v>
      </c>
      <c r="P28">
        <v>4.1470810312473727</v>
      </c>
      <c r="R28">
        <v>4.8761478354884167</v>
      </c>
      <c r="V28">
        <v>1</v>
      </c>
      <c r="W28">
        <v>2</v>
      </c>
      <c r="X28">
        <v>2.9450530833337973</v>
      </c>
      <c r="Y28">
        <v>4.1470810312473727</v>
      </c>
    </row>
    <row r="29" spans="2:28" x14ac:dyDescent="0.3">
      <c r="B29">
        <v>11</v>
      </c>
      <c r="C29">
        <v>2</v>
      </c>
      <c r="D29">
        <f t="shared" si="0"/>
        <v>4.1470810312473727</v>
      </c>
      <c r="E29">
        <f t="shared" si="2"/>
        <v>4.1470853541581123</v>
      </c>
      <c r="F29">
        <f t="shared" si="1"/>
        <v>1.8687557262513552E-11</v>
      </c>
      <c r="O29">
        <v>2</v>
      </c>
      <c r="P29">
        <v>4.8761478354884167</v>
      </c>
      <c r="R29">
        <v>5.3183492052393184</v>
      </c>
      <c r="V29">
        <v>2</v>
      </c>
      <c r="W29">
        <v>2</v>
      </c>
      <c r="X29">
        <v>4.1470810312473727</v>
      </c>
      <c r="Y29">
        <v>4.8761478354884167</v>
      </c>
    </row>
    <row r="30" spans="2:28" x14ac:dyDescent="0.3">
      <c r="B30">
        <v>12</v>
      </c>
      <c r="C30">
        <v>2</v>
      </c>
      <c r="D30">
        <f t="shared" si="0"/>
        <v>4.8761478354884167</v>
      </c>
      <c r="E30">
        <f t="shared" si="2"/>
        <v>4.8761504314684663</v>
      </c>
      <c r="F30">
        <f t="shared" si="1"/>
        <v>6.7391124178753332E-12</v>
      </c>
      <c r="O30">
        <v>2</v>
      </c>
      <c r="P30">
        <v>5.3183492052393184</v>
      </c>
      <c r="R30">
        <v>5.5865578937601628</v>
      </c>
      <c r="V30">
        <v>2</v>
      </c>
      <c r="W30">
        <v>2</v>
      </c>
      <c r="X30">
        <v>4.8761478354884167</v>
      </c>
      <c r="Y30">
        <v>5.3183492052393184</v>
      </c>
    </row>
    <row r="31" spans="2:28" x14ac:dyDescent="0.3">
      <c r="B31">
        <v>13</v>
      </c>
      <c r="C31">
        <v>2</v>
      </c>
      <c r="D31">
        <f t="shared" si="0"/>
        <v>5.3183492052393184</v>
      </c>
      <c r="E31">
        <f t="shared" si="2"/>
        <v>5.3183528570080369</v>
      </c>
      <c r="F31">
        <f t="shared" si="1"/>
        <v>1.3335414773610007E-11</v>
      </c>
      <c r="O31">
        <v>2</v>
      </c>
      <c r="P31">
        <v>5.5865578937601628</v>
      </c>
      <c r="R31">
        <v>5.7492346865493706</v>
      </c>
      <c r="V31">
        <v>2</v>
      </c>
      <c r="W31">
        <v>2</v>
      </c>
      <c r="X31">
        <v>5.3183492052393184</v>
      </c>
      <c r="Y31">
        <v>5.5865578937601628</v>
      </c>
    </row>
    <row r="32" spans="2:28" x14ac:dyDescent="0.3">
      <c r="B32">
        <v>14</v>
      </c>
      <c r="C32">
        <v>2</v>
      </c>
      <c r="D32">
        <f t="shared" si="0"/>
        <v>5.5865578937601628</v>
      </c>
      <c r="E32">
        <f t="shared" si="2"/>
        <v>5.5865593706430587</v>
      </c>
      <c r="F32">
        <f t="shared" si="1"/>
        <v>2.1811830884347383E-12</v>
      </c>
      <c r="O32">
        <v>2</v>
      </c>
      <c r="P32">
        <v>5.7492346865493706</v>
      </c>
      <c r="R32">
        <v>5.8479031489997446</v>
      </c>
      <c r="V32">
        <v>2</v>
      </c>
      <c r="W32">
        <v>2</v>
      </c>
      <c r="X32">
        <v>5.5865578937601628</v>
      </c>
      <c r="Y32">
        <v>5.7492346865493706</v>
      </c>
    </row>
    <row r="33" spans="2:25" x14ac:dyDescent="0.3">
      <c r="B33">
        <v>15</v>
      </c>
      <c r="C33">
        <v>2</v>
      </c>
      <c r="D33">
        <f t="shared" si="0"/>
        <v>5.7492346865493706</v>
      </c>
      <c r="E33">
        <f t="shared" si="2"/>
        <v>5.7492366926205589</v>
      </c>
      <c r="F33">
        <f t="shared" si="1"/>
        <v>4.0243216124324354E-12</v>
      </c>
      <c r="O33">
        <v>2</v>
      </c>
      <c r="P33">
        <v>5.8479031489997446</v>
      </c>
      <c r="R33">
        <v>5.9077485966226009</v>
      </c>
      <c r="V33">
        <v>2</v>
      </c>
      <c r="W33">
        <v>2</v>
      </c>
      <c r="X33">
        <v>5.7492346865493706</v>
      </c>
      <c r="Y33">
        <v>5.8479031489997446</v>
      </c>
    </row>
    <row r="34" spans="2:25" x14ac:dyDescent="0.3">
      <c r="B34">
        <v>16</v>
      </c>
      <c r="C34">
        <v>2</v>
      </c>
      <c r="D34">
        <f t="shared" si="0"/>
        <v>5.8479031489997446</v>
      </c>
      <c r="E34">
        <f t="shared" si="2"/>
        <v>5.8479035063257729</v>
      </c>
      <c r="F34">
        <f t="shared" si="1"/>
        <v>1.2768189051625755E-13</v>
      </c>
      <c r="O34">
        <v>2</v>
      </c>
      <c r="P34">
        <v>5.9077485966226009</v>
      </c>
      <c r="R34">
        <v>5.9440466954500897</v>
      </c>
      <c r="V34">
        <v>2</v>
      </c>
      <c r="W34">
        <v>2</v>
      </c>
      <c r="X34">
        <v>5.8479031489997446</v>
      </c>
      <c r="Y34">
        <v>5.9077485966226009</v>
      </c>
    </row>
    <row r="35" spans="2:25" x14ac:dyDescent="0.3">
      <c r="B35">
        <v>17</v>
      </c>
      <c r="C35">
        <v>2</v>
      </c>
      <c r="D35">
        <f t="shared" si="0"/>
        <v>5.9077485966226009</v>
      </c>
      <c r="E35">
        <f t="shared" si="2"/>
        <v>5.9077494457690278</v>
      </c>
      <c r="F35">
        <f t="shared" si="1"/>
        <v>7.210496544038341E-13</v>
      </c>
      <c r="O35">
        <v>2</v>
      </c>
      <c r="P35">
        <v>5.9440466954500897</v>
      </c>
      <c r="R35">
        <v>5.9660626052782408</v>
      </c>
      <c r="V35">
        <v>2</v>
      </c>
      <c r="W35">
        <v>2</v>
      </c>
      <c r="X35">
        <v>5.9077485966226009</v>
      </c>
      <c r="Y35">
        <v>5.9440466954500897</v>
      </c>
    </row>
    <row r="36" spans="2:25" x14ac:dyDescent="0.3">
      <c r="B36">
        <v>18</v>
      </c>
      <c r="C36">
        <v>2</v>
      </c>
      <c r="D36">
        <f t="shared" si="0"/>
        <v>5.9440466954500897</v>
      </c>
      <c r="E36">
        <f t="shared" si="2"/>
        <v>5.9440464125965251</v>
      </c>
      <c r="F36">
        <f t="shared" si="1"/>
        <v>8.0006138990222895E-14</v>
      </c>
      <c r="O36">
        <v>2</v>
      </c>
      <c r="P36">
        <v>5.9660626052782408</v>
      </c>
      <c r="R36">
        <v>5.9794159295904832</v>
      </c>
      <c r="V36">
        <v>2</v>
      </c>
      <c r="W36">
        <v>2</v>
      </c>
      <c r="X36">
        <v>5.9440466954500897</v>
      </c>
      <c r="Y36">
        <v>5.9660626052782408</v>
      </c>
    </row>
    <row r="37" spans="2:25" x14ac:dyDescent="0.3">
      <c r="B37">
        <v>19</v>
      </c>
      <c r="C37">
        <v>2</v>
      </c>
      <c r="D37">
        <f t="shared" si="0"/>
        <v>5.9660626052782408</v>
      </c>
      <c r="E37">
        <f t="shared" si="2"/>
        <v>5.9660627980355292</v>
      </c>
      <c r="F37">
        <f t="shared" si="1"/>
        <v>3.7155372213242844E-14</v>
      </c>
      <c r="O37">
        <v>2</v>
      </c>
      <c r="P37">
        <v>5.9794159295904832</v>
      </c>
      <c r="R37">
        <v>5.9875151301949447</v>
      </c>
      <c r="V37">
        <v>2</v>
      </c>
      <c r="W37">
        <v>2</v>
      </c>
      <c r="X37">
        <v>5.9660626052782408</v>
      </c>
      <c r="Y37">
        <v>5.9794159295904832</v>
      </c>
    </row>
    <row r="38" spans="2:25" x14ac:dyDescent="0.3">
      <c r="B38">
        <v>20</v>
      </c>
      <c r="C38">
        <v>2</v>
      </c>
      <c r="D38">
        <f t="shared" si="0"/>
        <v>5.9794159295904832</v>
      </c>
      <c r="E38">
        <f t="shared" si="2"/>
        <v>5.9794153514797097</v>
      </c>
      <c r="F38">
        <f t="shared" si="1"/>
        <v>3.3421206640763704E-13</v>
      </c>
      <c r="O38">
        <v>2</v>
      </c>
      <c r="P38">
        <v>5.9875151301949447</v>
      </c>
      <c r="R38">
        <v>5.992427543680714</v>
      </c>
      <c r="V38">
        <v>2</v>
      </c>
      <c r="W38">
        <v>2</v>
      </c>
      <c r="X38">
        <v>5.9794159295904832</v>
      </c>
      <c r="Y38">
        <v>5.9875151301949447</v>
      </c>
    </row>
    <row r="39" spans="2:25" x14ac:dyDescent="0.3">
      <c r="B39">
        <v>21</v>
      </c>
      <c r="C39">
        <v>2</v>
      </c>
      <c r="D39">
        <f t="shared" si="0"/>
        <v>5.9875151301949447</v>
      </c>
      <c r="E39">
        <f t="shared" si="2"/>
        <v>5.98751497550733</v>
      </c>
      <c r="F39">
        <f t="shared" si="1"/>
        <v>2.3928258146950988E-14</v>
      </c>
      <c r="O39">
        <v>2</v>
      </c>
      <c r="P39">
        <v>5.992427543680714</v>
      </c>
      <c r="R39">
        <v>5.995407073073018</v>
      </c>
      <c r="V39">
        <v>2</v>
      </c>
      <c r="W39">
        <v>2</v>
      </c>
      <c r="X39">
        <v>5.9875151301949447</v>
      </c>
      <c r="Y39">
        <v>5.992427543680714</v>
      </c>
    </row>
    <row r="40" spans="2:25" x14ac:dyDescent="0.3">
      <c r="B40">
        <v>22</v>
      </c>
      <c r="C40">
        <v>2</v>
      </c>
      <c r="D40">
        <f t="shared" si="0"/>
        <v>5.992427543680714</v>
      </c>
      <c r="E40">
        <f t="shared" si="2"/>
        <v>5.9924268532882383</v>
      </c>
      <c r="F40">
        <f t="shared" si="1"/>
        <v>4.766417704106094E-13</v>
      </c>
      <c r="O40">
        <v>2</v>
      </c>
      <c r="P40">
        <v>5.995407073073018</v>
      </c>
      <c r="R40">
        <v>5.9972142490009652</v>
      </c>
      <c r="V40">
        <v>2</v>
      </c>
      <c r="W40">
        <v>2</v>
      </c>
      <c r="X40">
        <v>5.992427543680714</v>
      </c>
      <c r="Y40">
        <v>5.995407073073018</v>
      </c>
    </row>
    <row r="41" spans="2:25" x14ac:dyDescent="0.3">
      <c r="B41">
        <v>23</v>
      </c>
      <c r="C41">
        <v>2</v>
      </c>
      <c r="D41">
        <f t="shared" si="0"/>
        <v>5.995407073073018</v>
      </c>
      <c r="E41">
        <f t="shared" si="2"/>
        <v>5.9954067356607936</v>
      </c>
      <c r="F41">
        <f t="shared" si="1"/>
        <v>1.1384700916285483E-13</v>
      </c>
      <c r="O41">
        <v>2</v>
      </c>
      <c r="P41">
        <v>5.9972142490009652</v>
      </c>
      <c r="R41">
        <v>5.9983103566087603</v>
      </c>
      <c r="V41">
        <v>2</v>
      </c>
      <c r="W41">
        <v>2</v>
      </c>
      <c r="X41">
        <v>5.995407073073018</v>
      </c>
      <c r="Y41">
        <v>5.9972142490009652</v>
      </c>
    </row>
    <row r="42" spans="2:25" x14ac:dyDescent="0.3">
      <c r="B42">
        <v>24</v>
      </c>
      <c r="C42">
        <v>2</v>
      </c>
      <c r="D42">
        <f t="shared" si="0"/>
        <v>5.9972142490009652</v>
      </c>
      <c r="E42">
        <f t="shared" si="2"/>
        <v>5.9972135297941751</v>
      </c>
      <c r="F42">
        <f t="shared" si="1"/>
        <v>5.172584069589417E-13</v>
      </c>
    </row>
    <row r="43" spans="2:25" x14ac:dyDescent="0.3">
      <c r="B43">
        <v>25</v>
      </c>
      <c r="C43">
        <v>2</v>
      </c>
      <c r="D43">
        <f t="shared" si="0"/>
        <v>5.9983103566087603</v>
      </c>
      <c r="E43">
        <f t="shared" si="2"/>
        <v>5.9983099197477481</v>
      </c>
      <c r="F43">
        <f t="shared" si="1"/>
        <v>1.9084754402762599E-13</v>
      </c>
    </row>
    <row r="45" spans="2:25" x14ac:dyDescent="0.3">
      <c r="F45">
        <f>SUM(F18:F43)</f>
        <v>9.2704473503695392E-11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AX85"/>
  <sheetViews>
    <sheetView workbookViewId="0">
      <selection activeCell="Y3" sqref="Y3"/>
    </sheetView>
  </sheetViews>
  <sheetFormatPr baseColWidth="10" defaultColWidth="8.88671875" defaultRowHeight="14.4" x14ac:dyDescent="0.3"/>
  <cols>
    <col min="1" max="1" width="6" bestFit="1" customWidth="1"/>
    <col min="2" max="2" width="12" bestFit="1" customWidth="1"/>
    <col min="3" max="3" width="12.6640625" bestFit="1" customWidth="1"/>
    <col min="4" max="5" width="12" bestFit="1" customWidth="1"/>
    <col min="6" max="6" width="12.6640625" bestFit="1" customWidth="1"/>
    <col min="7" max="8" width="13.44140625" bestFit="1" customWidth="1"/>
    <col min="9" max="10" width="13.5546875" bestFit="1" customWidth="1"/>
    <col min="11" max="11" width="10.33203125" bestFit="1" customWidth="1"/>
    <col min="12" max="12" width="10.5546875" bestFit="1" customWidth="1"/>
    <col min="17" max="17" width="14.6640625" bestFit="1" customWidth="1"/>
    <col min="20" max="20" width="14.77734375" bestFit="1" customWidth="1"/>
    <col min="35" max="35" width="12" bestFit="1" customWidth="1"/>
    <col min="41" max="41" width="8.88671875" customWidth="1"/>
    <col min="49" max="49" width="12" bestFit="1" customWidth="1"/>
    <col min="50" max="50" width="12.6640625" bestFit="1" customWidth="1"/>
  </cols>
  <sheetData>
    <row r="1" spans="1:50" ht="15" thickBot="1" x14ac:dyDescent="0.35">
      <c r="A1" s="3" t="s">
        <v>49</v>
      </c>
    </row>
    <row r="2" spans="1:50" x14ac:dyDescent="0.3">
      <c r="B2" s="7" t="s">
        <v>13</v>
      </c>
      <c r="C2" s="4"/>
      <c r="D2" s="1"/>
      <c r="F2" s="7" t="s">
        <v>14</v>
      </c>
      <c r="G2" s="4"/>
      <c r="H2" s="1"/>
      <c r="J2" s="7" t="s">
        <v>24</v>
      </c>
      <c r="K2" s="8" t="s">
        <v>19</v>
      </c>
      <c r="L2" s="1"/>
      <c r="N2" s="7" t="s">
        <v>25</v>
      </c>
      <c r="O2" s="8" t="s">
        <v>19</v>
      </c>
      <c r="P2" s="4"/>
      <c r="Q2" s="32" t="s">
        <v>21</v>
      </c>
      <c r="S2" s="7" t="s">
        <v>25</v>
      </c>
      <c r="T2" s="8" t="s">
        <v>26</v>
      </c>
      <c r="U2" s="1"/>
    </row>
    <row r="3" spans="1:50" ht="15" thickBot="1" x14ac:dyDescent="0.35">
      <c r="A3" t="s">
        <v>23</v>
      </c>
      <c r="B3" s="5" t="s">
        <v>10</v>
      </c>
      <c r="C3" t="s">
        <v>11</v>
      </c>
      <c r="D3" s="6" t="s">
        <v>12</v>
      </c>
      <c r="F3" s="5" t="s">
        <v>10</v>
      </c>
      <c r="G3" t="s">
        <v>11</v>
      </c>
      <c r="H3" s="6" t="s">
        <v>12</v>
      </c>
      <c r="J3" s="5" t="s">
        <v>20</v>
      </c>
      <c r="K3">
        <v>1</v>
      </c>
      <c r="L3" s="6">
        <v>2</v>
      </c>
      <c r="N3" s="5" t="s">
        <v>20</v>
      </c>
      <c r="O3">
        <v>1</v>
      </c>
      <c r="P3">
        <v>2</v>
      </c>
      <c r="Q3" s="6" t="s">
        <v>22</v>
      </c>
      <c r="S3" s="5" t="s">
        <v>20</v>
      </c>
      <c r="T3">
        <v>1</v>
      </c>
      <c r="U3" s="6">
        <v>2</v>
      </c>
    </row>
    <row r="4" spans="1:50" x14ac:dyDescent="0.3">
      <c r="A4" t="s">
        <v>9</v>
      </c>
      <c r="B4" s="17">
        <v>0</v>
      </c>
      <c r="C4" s="18">
        <v>0</v>
      </c>
      <c r="D4" s="19">
        <v>0</v>
      </c>
      <c r="F4" s="17">
        <v>0</v>
      </c>
      <c r="G4" s="18">
        <v>0</v>
      </c>
      <c r="H4" s="19">
        <v>0</v>
      </c>
      <c r="J4" s="5">
        <v>1</v>
      </c>
      <c r="K4" s="9">
        <f>SUM(B4:B6)/(1-SUM(D4:D6))</f>
        <v>2.999964505842077</v>
      </c>
      <c r="L4" s="10">
        <f>SUM(C4:C6)/(1-SUM(D4:D6))</f>
        <v>15.000040814107535</v>
      </c>
      <c r="N4" s="5">
        <v>1</v>
      </c>
      <c r="O4" s="13">
        <v>3</v>
      </c>
      <c r="P4" s="14">
        <v>15</v>
      </c>
      <c r="Q4" s="33">
        <v>2</v>
      </c>
      <c r="S4" s="5">
        <v>1</v>
      </c>
      <c r="T4" s="13">
        <v>0</v>
      </c>
      <c r="U4" s="14">
        <v>1</v>
      </c>
    </row>
    <row r="5" spans="1:50" ht="15" thickBot="1" x14ac:dyDescent="0.35">
      <c r="A5" t="s">
        <v>8</v>
      </c>
      <c r="B5" s="17">
        <v>1.6207158255800516E-4</v>
      </c>
      <c r="C5" s="18">
        <v>5.902455454615616</v>
      </c>
      <c r="D5" s="19">
        <v>5.9536087746360817E-5</v>
      </c>
      <c r="F5" s="17">
        <v>-1.7607940397754672E-2</v>
      </c>
      <c r="G5" s="18">
        <v>-3.944760736058664E-2</v>
      </c>
      <c r="H5" s="19">
        <v>4.6405192268809847E-2</v>
      </c>
      <c r="J5" s="2">
        <v>2</v>
      </c>
      <c r="K5" s="11">
        <f>SUM(F4:F6)/(1-SUM(H4:H6))</f>
        <v>-1.500551829090214</v>
      </c>
      <c r="L5" s="12">
        <f>SUM(G4:G6)/(1-SUM(H4:H6))</f>
        <v>-2.9993295189101228</v>
      </c>
      <c r="N5" s="2">
        <v>2</v>
      </c>
      <c r="O5" s="15">
        <v>-1.5</v>
      </c>
      <c r="P5" s="16">
        <v>-3</v>
      </c>
      <c r="Q5" s="34">
        <v>4</v>
      </c>
      <c r="S5" s="2">
        <v>2</v>
      </c>
      <c r="T5" s="15">
        <v>0</v>
      </c>
      <c r="U5" s="16">
        <v>0</v>
      </c>
    </row>
    <row r="6" spans="1:50" ht="15" thickBot="1" x14ac:dyDescent="0.35">
      <c r="A6" t="s">
        <v>7</v>
      </c>
      <c r="B6" s="20">
        <v>1.1802949377926919</v>
      </c>
      <c r="C6" s="21">
        <v>-8.4514744171669217E-5</v>
      </c>
      <c r="D6" s="22">
        <v>0.60645013858458752</v>
      </c>
      <c r="F6" s="20">
        <v>-0.33411529453274391</v>
      </c>
      <c r="G6" s="21">
        <v>-0.6635830114839566</v>
      </c>
      <c r="H6" s="22">
        <v>0.71919888210445004</v>
      </c>
    </row>
    <row r="9" spans="1:50" x14ac:dyDescent="0.3">
      <c r="B9" s="3" t="s">
        <v>0</v>
      </c>
      <c r="C9" s="3" t="s">
        <v>1</v>
      </c>
      <c r="D9" s="3" t="s">
        <v>2</v>
      </c>
      <c r="E9" s="3" t="s">
        <v>3</v>
      </c>
      <c r="F9" s="3" t="s">
        <v>4</v>
      </c>
      <c r="G9" s="3" t="s">
        <v>5</v>
      </c>
      <c r="H9" s="3" t="s">
        <v>6</v>
      </c>
      <c r="I9" s="3" t="s">
        <v>15</v>
      </c>
      <c r="J9" s="3" t="s">
        <v>16</v>
      </c>
      <c r="AT9" t="str">
        <f t="shared" ref="AT9" si="0">B9</f>
        <v>Time</v>
      </c>
      <c r="AU9" t="str">
        <f t="shared" ref="AU9" si="1">C9</f>
        <v>Input 1</v>
      </c>
      <c r="AV9" t="str">
        <f t="shared" ref="AV9" si="2">D9</f>
        <v>Input 2</v>
      </c>
      <c r="AW9" t="s">
        <v>69</v>
      </c>
      <c r="AX9" t="s">
        <v>68</v>
      </c>
    </row>
    <row r="11" spans="1:50" x14ac:dyDescent="0.3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f>10000*(G11-E11)^2</f>
        <v>0</v>
      </c>
      <c r="J11">
        <f>1000*(H11-F11)^2</f>
        <v>0</v>
      </c>
      <c r="T11" s="35">
        <v>0</v>
      </c>
      <c r="U11" s="35" cm="1">
        <f t="array" ref="U11:U35">C11:C35</f>
        <v>0</v>
      </c>
      <c r="V11" s="35">
        <v>0</v>
      </c>
      <c r="W11" s="35" cm="1">
        <f t="array" ref="W11:W35">D11:D35</f>
        <v>0</v>
      </c>
      <c r="X11" s="35">
        <v>0</v>
      </c>
      <c r="Y11" s="35" cm="1">
        <f t="array" ref="Y11:Y35">E11:E35</f>
        <v>0</v>
      </c>
      <c r="Z11" s="35">
        <v>1</v>
      </c>
      <c r="AB11" s="35" cm="1">
        <f t="array" ref="AB11:AB35">E12:E36</f>
        <v>0</v>
      </c>
      <c r="AD11" s="35">
        <v>0</v>
      </c>
      <c r="AE11" s="35" cm="1">
        <f t="array" ref="AE11:AE35">D11:D35</f>
        <v>0</v>
      </c>
      <c r="AF11" s="35">
        <v>0</v>
      </c>
      <c r="AG11" s="35" cm="1">
        <f t="array" ref="AG11:AG35">C11:C35</f>
        <v>0</v>
      </c>
      <c r="AH11" s="35">
        <v>0</v>
      </c>
      <c r="AI11" s="35" cm="1">
        <f t="array" ref="AI11:AI35">F11:F35</f>
        <v>0</v>
      </c>
      <c r="AJ11" s="35">
        <v>1</v>
      </c>
      <c r="AL11" s="35" cm="1">
        <f t="array" ref="AL11:AL35">F12:F36</f>
        <v>0</v>
      </c>
      <c r="AT11">
        <f>B11</f>
        <v>0</v>
      </c>
      <c r="AU11">
        <f t="shared" ref="AU11:AV11" si="3">C11</f>
        <v>0</v>
      </c>
      <c r="AV11">
        <f t="shared" si="3"/>
        <v>0</v>
      </c>
      <c r="AW11">
        <v>0</v>
      </c>
      <c r="AX11">
        <v>0</v>
      </c>
    </row>
    <row r="12" spans="1:50" x14ac:dyDescent="0.3">
      <c r="B12">
        <v>1</v>
      </c>
      <c r="C12">
        <v>0</v>
      </c>
      <c r="D12">
        <v>0</v>
      </c>
      <c r="E12">
        <f>EXP(-1/$Q$4)*E11+$O$4*(1-EXP(-1/$Q$4))*C11+$P$4*(1-EXP(-1/$Q$4))*D11</f>
        <v>0</v>
      </c>
      <c r="F12">
        <f t="shared" ref="F12:F30" si="4">EXP(-1/$Q$5)*F11+$O$5*(1-EXP(-1/$Q$5))*C11+$P$5*(1-EXP(-1/$Q$5))*D11</f>
        <v>0</v>
      </c>
      <c r="G12">
        <v>0</v>
      </c>
      <c r="H12">
        <v>0</v>
      </c>
      <c r="I12">
        <f t="shared" ref="I12:I36" si="5">10000*(G12-E12)^2</f>
        <v>0</v>
      </c>
      <c r="J12">
        <f t="shared" ref="J12:J36" si="6">1000*(H12-F12)^2</f>
        <v>0</v>
      </c>
      <c r="T12" s="35" cm="1">
        <f t="array" ref="T12:T35">C11:C34</f>
        <v>0</v>
      </c>
      <c r="U12" s="35">
        <v>0</v>
      </c>
      <c r="V12" s="35" cm="1">
        <f t="array" ref="V12:V35">D11:D34</f>
        <v>0</v>
      </c>
      <c r="W12" s="35">
        <v>0</v>
      </c>
      <c r="X12" s="35" cm="1">
        <f t="array" ref="X12:X35">E11:E34</f>
        <v>0</v>
      </c>
      <c r="Y12" s="35">
        <v>0</v>
      </c>
      <c r="Z12" s="35">
        <v>1</v>
      </c>
      <c r="AB12" s="35">
        <v>0</v>
      </c>
      <c r="AD12" s="35" cm="1">
        <f t="array" ref="AD12:AD35">D11:D34</f>
        <v>0</v>
      </c>
      <c r="AE12" s="35">
        <v>0</v>
      </c>
      <c r="AF12" s="35" cm="1">
        <f t="array" ref="AF12:AF35">C11:C34</f>
        <v>0</v>
      </c>
      <c r="AG12" s="35">
        <v>0</v>
      </c>
      <c r="AH12" s="35" cm="1">
        <f t="array" ref="AH12:AH35">F11:F34</f>
        <v>0</v>
      </c>
      <c r="AI12" s="35">
        <v>0</v>
      </c>
      <c r="AJ12" s="35">
        <v>1</v>
      </c>
      <c r="AL12" s="35">
        <v>0</v>
      </c>
      <c r="AT12">
        <f t="shared" ref="AT12:AT36" si="7">B12</f>
        <v>1</v>
      </c>
      <c r="AU12">
        <f t="shared" ref="AU12:AU36" si="8">C12</f>
        <v>0</v>
      </c>
      <c r="AV12">
        <f t="shared" ref="AV12:AV36" si="9">D12</f>
        <v>0</v>
      </c>
      <c r="AW12">
        <v>0</v>
      </c>
      <c r="AX12">
        <v>0</v>
      </c>
    </row>
    <row r="13" spans="1:50" x14ac:dyDescent="0.3">
      <c r="B13">
        <v>2</v>
      </c>
      <c r="C13">
        <v>0</v>
      </c>
      <c r="D13">
        <v>0</v>
      </c>
      <c r="E13">
        <f>EXP(-1/$Q$4)*E12+$O$4*(1-EXP(-1/$Q$4))*C12+$P$4*(1-EXP(-1/$Q$4))*D11</f>
        <v>0</v>
      </c>
      <c r="F13">
        <f t="shared" si="4"/>
        <v>0</v>
      </c>
      <c r="G13">
        <v>0</v>
      </c>
      <c r="H13">
        <v>0</v>
      </c>
      <c r="I13">
        <f t="shared" si="5"/>
        <v>0</v>
      </c>
      <c r="J13">
        <f t="shared" si="6"/>
        <v>0</v>
      </c>
      <c r="T13" s="35">
        <v>0</v>
      </c>
      <c r="U13" s="35">
        <v>0</v>
      </c>
      <c r="V13" s="35">
        <v>0</v>
      </c>
      <c r="W13" s="35">
        <v>0</v>
      </c>
      <c r="X13" s="35">
        <v>0</v>
      </c>
      <c r="Y13" s="35">
        <v>0</v>
      </c>
      <c r="Z13" s="35">
        <v>1</v>
      </c>
      <c r="AB13" s="35">
        <v>0</v>
      </c>
      <c r="AD13" s="35">
        <v>0</v>
      </c>
      <c r="AE13" s="35">
        <v>0</v>
      </c>
      <c r="AF13" s="35">
        <v>0</v>
      </c>
      <c r="AG13" s="35">
        <v>0</v>
      </c>
      <c r="AH13" s="35">
        <v>0</v>
      </c>
      <c r="AI13" s="35">
        <v>0</v>
      </c>
      <c r="AJ13" s="35">
        <v>1</v>
      </c>
      <c r="AL13" s="35">
        <v>0</v>
      </c>
      <c r="AT13">
        <f t="shared" si="7"/>
        <v>2</v>
      </c>
      <c r="AU13">
        <f t="shared" si="8"/>
        <v>0</v>
      </c>
      <c r="AV13">
        <f t="shared" si="9"/>
        <v>0</v>
      </c>
      <c r="AW13">
        <f t="shared" ref="AW13" si="10">E13</f>
        <v>0</v>
      </c>
      <c r="AX13">
        <v>0</v>
      </c>
    </row>
    <row r="14" spans="1:50" x14ac:dyDescent="0.3">
      <c r="B14">
        <v>3</v>
      </c>
      <c r="C14">
        <v>0</v>
      </c>
      <c r="D14">
        <v>0</v>
      </c>
      <c r="E14">
        <f t="shared" ref="E14:E30" si="11">EXP(-1/$Q$4)*E13+$O$4*(1-EXP(-1/$Q$4))*C13+$P$4*(1-EXP(-1/$Q$4))*D12</f>
        <v>0</v>
      </c>
      <c r="F14">
        <f t="shared" si="4"/>
        <v>0</v>
      </c>
      <c r="G14">
        <f t="shared" ref="G14:G36" si="12">($B$6*C13+$B$5*C12+$B$4*C11)+($C$6*D13+$C$5*D12+$C$4*D11)+($D$6*G13+$D$5*G12+$D$4*G11)</f>
        <v>0</v>
      </c>
      <c r="H14">
        <f>($B$6*C13+$B$5*C12+$B$4*C11)+($C$6*D13+$C$5*D12+$C$4*D11)+($D$6*G13+$D$5*G12+$D$4*G11)</f>
        <v>0</v>
      </c>
      <c r="I14">
        <f t="shared" si="5"/>
        <v>0</v>
      </c>
      <c r="J14">
        <f t="shared" si="6"/>
        <v>0</v>
      </c>
      <c r="T14" s="35">
        <v>0</v>
      </c>
      <c r="U14" s="35">
        <v>0</v>
      </c>
      <c r="V14" s="35">
        <v>0</v>
      </c>
      <c r="W14" s="35">
        <v>0</v>
      </c>
      <c r="X14" s="35">
        <v>0</v>
      </c>
      <c r="Y14" s="35">
        <v>0</v>
      </c>
      <c r="Z14" s="35">
        <v>1</v>
      </c>
      <c r="AB14" s="35">
        <v>0</v>
      </c>
      <c r="AD14" s="35">
        <v>0</v>
      </c>
      <c r="AE14" s="35">
        <v>0</v>
      </c>
      <c r="AF14" s="35">
        <v>0</v>
      </c>
      <c r="AG14" s="35">
        <v>0</v>
      </c>
      <c r="AH14" s="35">
        <v>0</v>
      </c>
      <c r="AI14" s="35">
        <v>0</v>
      </c>
      <c r="AJ14" s="35">
        <v>1</v>
      </c>
      <c r="AL14" s="35">
        <v>0</v>
      </c>
      <c r="AT14">
        <f t="shared" si="7"/>
        <v>3</v>
      </c>
      <c r="AU14">
        <f t="shared" si="8"/>
        <v>0</v>
      </c>
      <c r="AV14">
        <f t="shared" si="9"/>
        <v>0</v>
      </c>
      <c r="AW14">
        <f t="shared" ref="AW14:AW36" si="13">$AO$23*AU12+$AO$24*AU13+$AO$25*AV12+$AO$26*AV13+$AO$27*AW12+$AO$28*AW13+$AO$29</f>
        <v>0</v>
      </c>
      <c r="AX14">
        <f>$AR$23*AV12+$AR$24*AV13+$AR$25*AU12+$AR$26*AU13+$AR$27*AX12+$AR$28*AX13+$AR$29</f>
        <v>0</v>
      </c>
    </row>
    <row r="15" spans="1:50" x14ac:dyDescent="0.3">
      <c r="B15">
        <v>4</v>
      </c>
      <c r="C15">
        <v>0</v>
      </c>
      <c r="D15">
        <v>1</v>
      </c>
      <c r="E15">
        <f t="shared" si="11"/>
        <v>0</v>
      </c>
      <c r="F15">
        <f t="shared" si="4"/>
        <v>0</v>
      </c>
      <c r="G15">
        <f t="shared" si="12"/>
        <v>0</v>
      </c>
      <c r="H15">
        <f>($F$6*C14+$F$5*C13+$F$4*C12)+($G$6*D14+$G$5*D13+$G$4*D12)+($H$6*H14+$H$5*H13+$H$4*H12)</f>
        <v>0</v>
      </c>
      <c r="I15">
        <f t="shared" si="5"/>
        <v>0</v>
      </c>
      <c r="J15">
        <f t="shared" si="6"/>
        <v>0</v>
      </c>
      <c r="T15" s="35">
        <v>0</v>
      </c>
      <c r="U15" s="35">
        <v>0</v>
      </c>
      <c r="V15" s="35">
        <v>0</v>
      </c>
      <c r="W15" s="35">
        <v>1</v>
      </c>
      <c r="X15" s="35">
        <v>0</v>
      </c>
      <c r="Y15" s="35">
        <v>0</v>
      </c>
      <c r="Z15" s="35">
        <v>1</v>
      </c>
      <c r="AB15" s="35">
        <v>0</v>
      </c>
      <c r="AD15" s="35">
        <v>0</v>
      </c>
      <c r="AE15" s="35">
        <v>1</v>
      </c>
      <c r="AF15" s="35">
        <v>0</v>
      </c>
      <c r="AG15" s="35">
        <v>0</v>
      </c>
      <c r="AH15" s="35">
        <v>0</v>
      </c>
      <c r="AI15" s="35">
        <v>0</v>
      </c>
      <c r="AJ15" s="35">
        <v>1</v>
      </c>
      <c r="AL15" s="35">
        <v>-0.66359765078578536</v>
      </c>
      <c r="AT15">
        <f t="shared" si="7"/>
        <v>4</v>
      </c>
      <c r="AU15">
        <f t="shared" si="8"/>
        <v>0</v>
      </c>
      <c r="AV15">
        <f t="shared" si="9"/>
        <v>1</v>
      </c>
      <c r="AW15">
        <f t="shared" si="13"/>
        <v>0</v>
      </c>
      <c r="AX15">
        <f t="shared" ref="AX15:AX36" si="14">$AR$23*AV13+$AR$24*AV14+$AR$25*AU13+$AR$26*AU14+$AR$27*AX13+$AR$28*AX14+$AR$29</f>
        <v>0</v>
      </c>
    </row>
    <row r="16" spans="1:50" x14ac:dyDescent="0.3">
      <c r="B16">
        <v>5</v>
      </c>
      <c r="C16">
        <v>0</v>
      </c>
      <c r="D16">
        <v>9.8385062684558449</v>
      </c>
      <c r="E16">
        <f>EXP(-1/$Q$4)*E15+$O$4*(1-EXP(-1/$Q$4))*C15+$P$4*(1-EXP(-1/$Q$4))*D14</f>
        <v>0</v>
      </c>
      <c r="F16">
        <f>EXP(-1/$Q$5)*F15+$O$5*(1-EXP(-1/$Q$5))*C15+$P$5*(1-EXP(-1/$Q$5))*D15</f>
        <v>-0.66359765078578536</v>
      </c>
      <c r="G16">
        <f t="shared" si="12"/>
        <v>-8.4514744171669217E-5</v>
      </c>
      <c r="H16">
        <f t="shared" ref="H16:H30" si="15">($F$6*C15+$F$5*C14+$F$4*C13)+($G$6*D15+$G$5*D14+$G$4*D13)+($H$6*H15+$H$5*H14+$H$4*H13)</f>
        <v>-0.6635830114839566</v>
      </c>
      <c r="I16">
        <f t="shared" si="5"/>
        <v>7.1427419824026962E-5</v>
      </c>
      <c r="J16">
        <f t="shared" si="6"/>
        <v>2.1430915803374551E-7</v>
      </c>
      <c r="T16" s="35">
        <v>0</v>
      </c>
      <c r="U16" s="35">
        <v>0</v>
      </c>
      <c r="V16" s="35">
        <v>1</v>
      </c>
      <c r="W16" s="35">
        <v>9.8385062684558449</v>
      </c>
      <c r="X16" s="35">
        <v>0</v>
      </c>
      <c r="Y16" s="35">
        <v>0</v>
      </c>
      <c r="Z16" s="35">
        <v>1</v>
      </c>
      <c r="AB16" s="35">
        <v>5.9020401043104984</v>
      </c>
      <c r="AD16" s="35">
        <v>1</v>
      </c>
      <c r="AE16" s="35">
        <v>9.8385062684558449</v>
      </c>
      <c r="AF16" s="35">
        <v>0</v>
      </c>
      <c r="AG16" s="35">
        <v>0</v>
      </c>
      <c r="AH16" s="35">
        <v>0</v>
      </c>
      <c r="AI16" s="35">
        <v>-0.66359765078578536</v>
      </c>
      <c r="AJ16" s="35">
        <v>1</v>
      </c>
      <c r="AL16" s="35">
        <v>-7.0456200170648362</v>
      </c>
      <c r="AT16">
        <f t="shared" si="7"/>
        <v>5</v>
      </c>
      <c r="AU16">
        <f t="shared" si="8"/>
        <v>0</v>
      </c>
      <c r="AV16">
        <f t="shared" si="9"/>
        <v>9.8385062684558449</v>
      </c>
      <c r="AW16">
        <f t="shared" si="13"/>
        <v>1.6673665446662003E-2</v>
      </c>
      <c r="AX16">
        <f>$AR$23*AV14+$AR$24*AV15+$AR$25*AU14+$AR$26*AU15+$AR$27*AX14+$AR$28*AX15+$AR$29</f>
        <v>-0.66118004925479268</v>
      </c>
    </row>
    <row r="17" spans="2:50" x14ac:dyDescent="0.3">
      <c r="B17">
        <v>6</v>
      </c>
      <c r="C17">
        <v>0</v>
      </c>
      <c r="D17">
        <v>9.8385062684558449</v>
      </c>
      <c r="E17">
        <f>EXP(-1/$Q$4)*E16+$O$4*(1-EXP(-1/$Q$4))*C16+$P$4*(1-EXP(-1/$Q$4))*D15</f>
        <v>5.9020401043104984</v>
      </c>
      <c r="F17">
        <f>EXP(-1/$Q$5)*F16+$O$5*(1-EXP(-1/$Q$5))*C16+$P$5*(1-EXP(-1/$Q$5))*D16</f>
        <v>-7.0456200170648362</v>
      </c>
      <c r="G17">
        <f>($B$6*C16+$B$5*C15+$B$4*C14)+($C$6*D16+$C$5*D15+$C$4*D14)+($D$6*G16+$D$5*G15+$D$4*G14)</f>
        <v>5.9015727017969901</v>
      </c>
      <c r="H17">
        <f t="shared" si="15"/>
        <v>-7.0453613855290662</v>
      </c>
      <c r="I17">
        <f t="shared" si="5"/>
        <v>2.1846510963387383E-3</v>
      </c>
      <c r="J17">
        <f t="shared" si="6"/>
        <v>6.6890271294745219E-5</v>
      </c>
      <c r="T17" s="35">
        <v>0</v>
      </c>
      <c r="U17" s="35">
        <v>0</v>
      </c>
      <c r="V17" s="35">
        <v>9.8385062684558449</v>
      </c>
      <c r="W17" s="35">
        <v>9.8385062684558449</v>
      </c>
      <c r="X17" s="35">
        <v>0</v>
      </c>
      <c r="Y17" s="35">
        <v>5.9020401043104984</v>
      </c>
      <c r="Z17" s="35">
        <v>1</v>
      </c>
      <c r="AB17" s="35">
        <v>61.647026841054497</v>
      </c>
      <c r="AD17" s="35">
        <v>9.8385062684558449</v>
      </c>
      <c r="AE17" s="35">
        <v>9.8385062684558449</v>
      </c>
      <c r="AF17" s="35">
        <v>0</v>
      </c>
      <c r="AG17" s="35">
        <v>0</v>
      </c>
      <c r="AH17" s="35">
        <v>-0.66359765078578536</v>
      </c>
      <c r="AI17" s="35">
        <v>-7.0456200170648362</v>
      </c>
      <c r="AJ17" s="35">
        <v>1</v>
      </c>
      <c r="AL17" s="35">
        <v>-12.015944033502182</v>
      </c>
      <c r="AT17">
        <f t="shared" si="7"/>
        <v>6</v>
      </c>
      <c r="AU17">
        <f t="shared" si="8"/>
        <v>0</v>
      </c>
      <c r="AV17">
        <f t="shared" si="9"/>
        <v>9.8385062684558449</v>
      </c>
      <c r="AW17">
        <f t="shared" si="13"/>
        <v>6.0430343029574836</v>
      </c>
      <c r="AX17">
        <f t="shared" si="14"/>
        <v>-7.0236095939754088</v>
      </c>
    </row>
    <row r="18" spans="2:50" x14ac:dyDescent="0.3">
      <c r="B18">
        <v>7</v>
      </c>
      <c r="C18">
        <v>3</v>
      </c>
      <c r="D18">
        <v>9.8385062684558449</v>
      </c>
      <c r="E18">
        <f>EXP(-1/$Q$4)*E17+$O$4*(1-EXP(-1/$Q$4))*C17+$P$4*(1-EXP(-1/$Q$4))*D16</f>
        <v>61.647026841054497</v>
      </c>
      <c r="F18">
        <f t="shared" ref="F18:F21" si="16">EXP(-1/$Q$5)*F17+$O$5*(1-EXP(-1/$Q$5))*C17+$P$5*(1-EXP(-1/$Q$5))*D17</f>
        <v>-12.015944033502182</v>
      </c>
      <c r="G18">
        <f t="shared" si="12"/>
        <v>61.649523068516942</v>
      </c>
      <c r="H18">
        <f t="shared" si="15"/>
        <v>-12.014580880147022</v>
      </c>
      <c r="I18">
        <f t="shared" si="5"/>
        <v>6.2311515442609447E-2</v>
      </c>
      <c r="J18">
        <f t="shared" si="6"/>
        <v>1.8581870696818964E-3</v>
      </c>
      <c r="T18" s="35">
        <v>0</v>
      </c>
      <c r="U18" s="35">
        <v>3</v>
      </c>
      <c r="V18" s="35">
        <v>9.8385062684558449</v>
      </c>
      <c r="W18" s="35">
        <v>9.8385062684558449</v>
      </c>
      <c r="X18" s="35">
        <v>5.9020401043104984</v>
      </c>
      <c r="Y18" s="35">
        <v>61.647026841054497</v>
      </c>
      <c r="Z18" s="35">
        <v>1</v>
      </c>
      <c r="AB18" s="35">
        <v>98.999294484750138</v>
      </c>
      <c r="AD18" s="35">
        <v>9.8385062684558449</v>
      </c>
      <c r="AE18" s="35">
        <v>9.8385062684558449</v>
      </c>
      <c r="AF18" s="35">
        <v>0</v>
      </c>
      <c r="AG18" s="35">
        <v>3</v>
      </c>
      <c r="AH18" s="35">
        <v>-7.0456200170648362</v>
      </c>
      <c r="AI18" s="35">
        <v>-12.015944033502182</v>
      </c>
      <c r="AJ18" s="35">
        <v>1</v>
      </c>
      <c r="AL18" s="35">
        <v>-16.882232745800877</v>
      </c>
      <c r="AT18">
        <f t="shared" si="7"/>
        <v>7</v>
      </c>
      <c r="AU18">
        <f t="shared" si="8"/>
        <v>3</v>
      </c>
      <c r="AV18">
        <f t="shared" si="9"/>
        <v>9.8385062684558449</v>
      </c>
      <c r="AW18">
        <f t="shared" si="13"/>
        <v>61.590327383556442</v>
      </c>
      <c r="AX18">
        <f t="shared" si="14"/>
        <v>-12.010415938390119</v>
      </c>
    </row>
    <row r="19" spans="2:50" x14ac:dyDescent="0.3">
      <c r="B19">
        <v>8</v>
      </c>
      <c r="C19">
        <v>3</v>
      </c>
      <c r="D19">
        <v>9.8385062684558449</v>
      </c>
      <c r="E19">
        <f t="shared" si="11"/>
        <v>98.999294484750138</v>
      </c>
      <c r="F19">
        <f t="shared" si="16"/>
        <v>-16.882232745800877</v>
      </c>
      <c r="G19">
        <f t="shared" si="12"/>
        <v>98.999111469180946</v>
      </c>
      <c r="H19">
        <f t="shared" si="15"/>
        <v>-16.886931521670626</v>
      </c>
      <c r="I19">
        <f t="shared" si="5"/>
        <v>3.3494698566664393E-4</v>
      </c>
      <c r="J19">
        <f t="shared" si="6"/>
        <v>2.2078494674129055E-2</v>
      </c>
      <c r="T19" s="35">
        <v>3</v>
      </c>
      <c r="U19" s="35">
        <v>3</v>
      </c>
      <c r="V19" s="35">
        <v>9.8385062684558449</v>
      </c>
      <c r="W19" s="35">
        <v>9.8385062684558449</v>
      </c>
      <c r="X19" s="35">
        <v>61.647026841054497</v>
      </c>
      <c r="Y19" s="35">
        <v>98.999294484750138</v>
      </c>
      <c r="Z19" s="35">
        <v>1</v>
      </c>
      <c r="AB19" s="35">
        <v>121.65459002044371</v>
      </c>
      <c r="AD19" s="35">
        <v>9.8385062684558449</v>
      </c>
      <c r="AE19" s="35">
        <v>9.8385062684558449</v>
      </c>
      <c r="AF19" s="35">
        <v>3</v>
      </c>
      <c r="AG19" s="35">
        <v>3</v>
      </c>
      <c r="AH19" s="35">
        <v>-12.015944033502182</v>
      </c>
      <c r="AI19" s="35">
        <v>-16.882232745800877</v>
      </c>
      <c r="AJ19" s="35">
        <v>1</v>
      </c>
      <c r="AL19" s="35">
        <v>-20.672102205590637</v>
      </c>
      <c r="AT19">
        <f t="shared" si="7"/>
        <v>8</v>
      </c>
      <c r="AU19">
        <f t="shared" si="8"/>
        <v>3</v>
      </c>
      <c r="AV19">
        <f t="shared" si="9"/>
        <v>9.8385062684558449</v>
      </c>
      <c r="AW19">
        <f t="shared" si="13"/>
        <v>98.810440970078687</v>
      </c>
      <c r="AX19">
        <f t="shared" si="14"/>
        <v>-16.822709052753165</v>
      </c>
    </row>
    <row r="20" spans="2:50" x14ac:dyDescent="0.3">
      <c r="B20">
        <v>9</v>
      </c>
      <c r="C20">
        <v>3</v>
      </c>
      <c r="D20">
        <v>9.8385062684558449</v>
      </c>
      <c r="E20">
        <f t="shared" si="11"/>
        <v>121.65459002044371</v>
      </c>
      <c r="F20">
        <f t="shared" si="16"/>
        <v>-20.672102205590637</v>
      </c>
      <c r="G20">
        <f t="shared" si="12"/>
        <v>121.65357976045331</v>
      </c>
      <c r="H20">
        <f t="shared" si="15"/>
        <v>-20.674542063542226</v>
      </c>
      <c r="I20">
        <f t="shared" si="5"/>
        <v>1.0206252481918993E-2</v>
      </c>
      <c r="J20">
        <f t="shared" si="6"/>
        <v>5.9529068239351458E-3</v>
      </c>
      <c r="T20" s="35">
        <v>3</v>
      </c>
      <c r="U20" s="35">
        <v>3</v>
      </c>
      <c r="V20" s="35">
        <v>9.8385062684558449</v>
      </c>
      <c r="W20" s="35">
        <v>9.8385062684558449</v>
      </c>
      <c r="X20" s="35">
        <v>98.999294484750138</v>
      </c>
      <c r="Y20" s="35">
        <v>121.65459002044371</v>
      </c>
      <c r="Z20" s="35">
        <v>1</v>
      </c>
      <c r="AB20" s="35">
        <v>135.3957213676926</v>
      </c>
      <c r="AD20" s="35">
        <v>9.8385062684558449</v>
      </c>
      <c r="AE20" s="35">
        <v>9.8385062684558449</v>
      </c>
      <c r="AF20" s="35">
        <v>3</v>
      </c>
      <c r="AG20" s="35">
        <v>3</v>
      </c>
      <c r="AH20" s="35">
        <v>-16.882232745800877</v>
      </c>
      <c r="AI20" s="35">
        <v>-20.672102205590637</v>
      </c>
      <c r="AJ20" s="35">
        <v>1</v>
      </c>
      <c r="AL20" s="35">
        <v>-23.623655508613304</v>
      </c>
      <c r="AT20">
        <f t="shared" si="7"/>
        <v>9</v>
      </c>
      <c r="AU20">
        <f t="shared" si="8"/>
        <v>3</v>
      </c>
      <c r="AV20">
        <f t="shared" si="9"/>
        <v>9.8385062684558449</v>
      </c>
      <c r="AW20">
        <f t="shared" si="13"/>
        <v>121.55740124374708</v>
      </c>
      <c r="AX20">
        <f t="shared" si="14"/>
        <v>-20.642520867439881</v>
      </c>
    </row>
    <row r="21" spans="2:50" x14ac:dyDescent="0.3">
      <c r="B21">
        <v>10</v>
      </c>
      <c r="C21">
        <v>3</v>
      </c>
      <c r="D21">
        <v>9.8385062684558449</v>
      </c>
      <c r="E21">
        <f t="shared" si="11"/>
        <v>135.3957213676926</v>
      </c>
      <c r="F21">
        <f t="shared" si="16"/>
        <v>-23.623655508613304</v>
      </c>
      <c r="G21">
        <f t="shared" si="12"/>
        <v>135.39460884362788</v>
      </c>
      <c r="H21">
        <f t="shared" si="15"/>
        <v>-23.624689699424273</v>
      </c>
      <c r="I21">
        <f t="shared" si="5"/>
        <v>1.237709794588175E-2</v>
      </c>
      <c r="J21">
        <f t="shared" si="6"/>
        <v>1.0695506334936458E-3</v>
      </c>
      <c r="T21" s="35">
        <v>3</v>
      </c>
      <c r="U21" s="35">
        <v>3</v>
      </c>
      <c r="V21" s="35">
        <v>9.8385062684558449</v>
      </c>
      <c r="W21" s="35">
        <v>9.8385062684558449</v>
      </c>
      <c r="X21" s="35">
        <v>121.65459002044371</v>
      </c>
      <c r="Y21" s="35">
        <v>135.3957213676926</v>
      </c>
      <c r="Z21" s="35">
        <v>1</v>
      </c>
      <c r="AB21" s="35">
        <v>143.73013882893741</v>
      </c>
      <c r="AD21" s="35">
        <v>9.8385062684558449</v>
      </c>
      <c r="AE21" s="35">
        <v>9.8385062684558449</v>
      </c>
      <c r="AF21" s="35">
        <v>3</v>
      </c>
      <c r="AG21" s="35">
        <v>3</v>
      </c>
      <c r="AH21" s="35">
        <v>-20.672102205590637</v>
      </c>
      <c r="AI21" s="35">
        <v>-23.623655508613304</v>
      </c>
      <c r="AJ21" s="35">
        <v>1</v>
      </c>
      <c r="AL21" s="35">
        <v>-25.922327532284349</v>
      </c>
      <c r="AT21">
        <f t="shared" si="7"/>
        <v>10</v>
      </c>
      <c r="AU21">
        <f t="shared" si="8"/>
        <v>3</v>
      </c>
      <c r="AV21">
        <f t="shared" si="9"/>
        <v>9.8385062684558449</v>
      </c>
      <c r="AW21">
        <f t="shared" si="13"/>
        <v>135.35753214732824</v>
      </c>
      <c r="AX21">
        <f t="shared" si="14"/>
        <v>-23.596874000702094</v>
      </c>
    </row>
    <row r="22" spans="2:50" x14ac:dyDescent="0.3">
      <c r="B22">
        <v>11</v>
      </c>
      <c r="C22">
        <v>3</v>
      </c>
      <c r="D22">
        <v>9.8385062684558449</v>
      </c>
      <c r="E22">
        <f t="shared" si="11"/>
        <v>143.73013882893741</v>
      </c>
      <c r="F22">
        <f t="shared" si="4"/>
        <v>-25.922327532284349</v>
      </c>
      <c r="G22">
        <f t="shared" si="12"/>
        <v>143.72920659382601</v>
      </c>
      <c r="H22">
        <f t="shared" si="15"/>
        <v>-25.922197376628652</v>
      </c>
      <c r="I22">
        <f t="shared" si="5"/>
        <v>8.6906230293908697E-3</v>
      </c>
      <c r="J22">
        <f t="shared" si="6"/>
        <v>1.6940494709848279E-5</v>
      </c>
      <c r="T22" s="35">
        <v>3</v>
      </c>
      <c r="U22" s="35">
        <v>3</v>
      </c>
      <c r="V22" s="35">
        <v>9.8385062684558449</v>
      </c>
      <c r="W22" s="35">
        <v>9.8385062684558449</v>
      </c>
      <c r="X22" s="35">
        <v>135.3957213676926</v>
      </c>
      <c r="Y22" s="35">
        <v>143.73013882893741</v>
      </c>
      <c r="Z22" s="35">
        <v>1</v>
      </c>
      <c r="AB22" s="35">
        <v>148.78521855002674</v>
      </c>
      <c r="AD22" s="35">
        <v>9.8385062684558449</v>
      </c>
      <c r="AE22" s="35">
        <v>9.8385062684558449</v>
      </c>
      <c r="AF22" s="35">
        <v>3</v>
      </c>
      <c r="AG22" s="35">
        <v>3</v>
      </c>
      <c r="AH22" s="35">
        <v>-23.623655508613304</v>
      </c>
      <c r="AI22" s="35">
        <v>-25.922327532284349</v>
      </c>
      <c r="AJ22" s="35">
        <v>1</v>
      </c>
      <c r="AL22" s="35">
        <v>-27.712535104343686</v>
      </c>
      <c r="AN22" s="35"/>
      <c r="AO22" s="35" t="s">
        <v>52</v>
      </c>
      <c r="AQ22" s="35"/>
      <c r="AR22" s="35" t="s">
        <v>53</v>
      </c>
      <c r="AT22">
        <f t="shared" si="7"/>
        <v>11</v>
      </c>
      <c r="AU22">
        <f t="shared" si="8"/>
        <v>3</v>
      </c>
      <c r="AV22">
        <f t="shared" si="9"/>
        <v>9.8385062684558449</v>
      </c>
      <c r="AW22">
        <f t="shared" si="13"/>
        <v>143.72946737988093</v>
      </c>
      <c r="AX22">
        <f t="shared" si="14"/>
        <v>-25.909213869029472</v>
      </c>
    </row>
    <row r="23" spans="2:50" x14ac:dyDescent="0.3">
      <c r="B23">
        <v>12</v>
      </c>
      <c r="C23">
        <v>3</v>
      </c>
      <c r="D23">
        <v>9.8385062684558449</v>
      </c>
      <c r="E23">
        <f t="shared" si="11"/>
        <v>148.78521855002674</v>
      </c>
      <c r="F23">
        <f t="shared" si="4"/>
        <v>-27.712535104343686</v>
      </c>
      <c r="G23">
        <f t="shared" si="12"/>
        <v>148.78454264159365</v>
      </c>
      <c r="H23">
        <f t="shared" si="15"/>
        <v>-27.711464497964915</v>
      </c>
      <c r="I23">
        <f>10000*(G23-E23)^2</f>
        <v>4.5685220992917287E-3</v>
      </c>
      <c r="J23">
        <f t="shared" si="6"/>
        <v>1.1461980182663179E-3</v>
      </c>
      <c r="T23" s="35">
        <v>3</v>
      </c>
      <c r="U23" s="35">
        <v>3</v>
      </c>
      <c r="V23" s="35">
        <v>9.8385062684558449</v>
      </c>
      <c r="W23" s="35">
        <v>9.8385062684558449</v>
      </c>
      <c r="X23" s="35">
        <v>143.73013882893741</v>
      </c>
      <c r="Y23" s="35">
        <v>148.78521855002674</v>
      </c>
      <c r="Z23" s="35">
        <v>1</v>
      </c>
      <c r="AB23" s="35">
        <v>151.85127938815899</v>
      </c>
      <c r="AD23" s="35">
        <v>9.8385062684558449</v>
      </c>
      <c r="AE23" s="35">
        <v>9.8385062684558449</v>
      </c>
      <c r="AF23" s="35">
        <v>3</v>
      </c>
      <c r="AG23" s="35">
        <v>3</v>
      </c>
      <c r="AH23" s="35">
        <v>-25.922327532284349</v>
      </c>
      <c r="AI23" s="35">
        <v>-27.712535104343686</v>
      </c>
      <c r="AJ23" s="35">
        <v>1</v>
      </c>
      <c r="AL23" s="35">
        <v>-29.106750163323859</v>
      </c>
      <c r="AN23" s="35" t="s">
        <v>59</v>
      </c>
      <c r="AO23" s="35" cm="1">
        <f t="array" ref="AO23:AO28">MMULT(MMULT(MINVERSE(MMULT(TRANSPOSE(T11:Y35),T11:Y35)),TRANSPOSE(T11:Y35)),AB11:AB35)*0+_xlfn.ANCHORARRAY(AD80)</f>
        <v>5.1861541819707035E-2</v>
      </c>
      <c r="AQ23" s="35" t="s">
        <v>60</v>
      </c>
      <c r="AR23" s="35" cm="1">
        <f t="array" ref="AR23:AR28">MMULT(MMULT(MINVERSE(MMULT(TRANSPOSE(AD11:AI35),AD11:AI35)),TRANSPOSE(AD11:AI35)),_xlfn.ANCHORARRAY(AL11))*0+_xlfn.ANCHORARRAY(AL80)</f>
        <v>-0.24010945967656283</v>
      </c>
      <c r="AT23">
        <f t="shared" si="7"/>
        <v>12</v>
      </c>
      <c r="AU23">
        <f t="shared" si="8"/>
        <v>3</v>
      </c>
      <c r="AV23">
        <f t="shared" si="9"/>
        <v>9.8385062684558449</v>
      </c>
      <c r="AW23">
        <f t="shared" si="13"/>
        <v>148.80835286403737</v>
      </c>
      <c r="AX23">
        <f t="shared" si="14"/>
        <v>-27.709166987206899</v>
      </c>
    </row>
    <row r="24" spans="2:50" x14ac:dyDescent="0.3">
      <c r="B24">
        <v>13</v>
      </c>
      <c r="C24">
        <v>3</v>
      </c>
      <c r="D24">
        <v>1.8011042091804852</v>
      </c>
      <c r="E24">
        <f t="shared" si="11"/>
        <v>151.85127938815899</v>
      </c>
      <c r="F24">
        <f t="shared" si="4"/>
        <v>-29.106750163323859</v>
      </c>
      <c r="G24">
        <f t="shared" si="12"/>
        <v>151.850848097697</v>
      </c>
      <c r="H24">
        <f t="shared" si="15"/>
        <v>-29.104919696915939</v>
      </c>
      <c r="I24">
        <f t="shared" si="5"/>
        <v>1.8601146260304713E-3</v>
      </c>
      <c r="J24">
        <f t="shared" si="6"/>
        <v>3.3506072705245865E-3</v>
      </c>
      <c r="T24" s="35">
        <v>3</v>
      </c>
      <c r="U24" s="35">
        <v>3</v>
      </c>
      <c r="V24" s="35">
        <v>9.8385062684558449</v>
      </c>
      <c r="W24" s="35">
        <v>1.8011042091804852</v>
      </c>
      <c r="X24" s="35">
        <v>148.78521855002674</v>
      </c>
      <c r="Y24" s="35">
        <v>151.85127938815899</v>
      </c>
      <c r="Z24" s="35">
        <v>1</v>
      </c>
      <c r="AB24" s="35">
        <v>153.7109392910304</v>
      </c>
      <c r="AD24" s="35">
        <v>9.8385062684558449</v>
      </c>
      <c r="AE24" s="35">
        <v>1.8011042091804852</v>
      </c>
      <c r="AF24" s="35">
        <v>3</v>
      </c>
      <c r="AG24" s="35">
        <v>3</v>
      </c>
      <c r="AH24" s="35">
        <v>-27.712535104343686</v>
      </c>
      <c r="AI24" s="35">
        <v>-29.106750163323859</v>
      </c>
      <c r="AJ24" s="35">
        <v>1</v>
      </c>
      <c r="AL24" s="35">
        <v>-24.858964818071598</v>
      </c>
      <c r="AN24" s="35" t="s">
        <v>58</v>
      </c>
      <c r="AO24" s="35">
        <v>1.1171953868920494</v>
      </c>
      <c r="AQ24" s="35" t="s">
        <v>61</v>
      </c>
      <c r="AR24" s="35">
        <v>-0.66118004925479268</v>
      </c>
      <c r="AT24">
        <f t="shared" si="7"/>
        <v>13</v>
      </c>
      <c r="AU24">
        <f t="shared" si="8"/>
        <v>3</v>
      </c>
      <c r="AV24">
        <f t="shared" si="9"/>
        <v>1.8011042091804852</v>
      </c>
      <c r="AW24">
        <f t="shared" si="13"/>
        <v>151.88948966392149</v>
      </c>
      <c r="AX24">
        <f t="shared" si="14"/>
        <v>-29.113805124934132</v>
      </c>
    </row>
    <row r="25" spans="2:50" x14ac:dyDescent="0.3">
      <c r="B25">
        <v>14</v>
      </c>
      <c r="C25">
        <v>3</v>
      </c>
      <c r="D25">
        <v>6.1905286455192297</v>
      </c>
      <c r="E25">
        <f t="shared" si="11"/>
        <v>153.7109392910304</v>
      </c>
      <c r="F25">
        <f t="shared" si="4"/>
        <v>-24.858964818071598</v>
      </c>
      <c r="G25">
        <f t="shared" si="12"/>
        <v>153.71138972040291</v>
      </c>
      <c r="H25">
        <f>($F$6*C24+$F$5*C23+$F$4*C22)+($G$6*D24+$G$5*D23+$G$4*D22)+($H$6*H24+$H$5*H23+$H$4*H22)</f>
        <v>-24.856638940048718</v>
      </c>
      <c r="I25">
        <f t="shared" si="5"/>
        <v>2.0288661961639937E-3</v>
      </c>
      <c r="J25">
        <f t="shared" si="6"/>
        <v>5.4097085773165974E-3</v>
      </c>
      <c r="T25" s="35">
        <v>3</v>
      </c>
      <c r="U25" s="35">
        <v>3</v>
      </c>
      <c r="V25" s="35">
        <v>1.8011042091804852</v>
      </c>
      <c r="W25" s="35">
        <v>6.1905286455192297</v>
      </c>
      <c r="X25" s="35">
        <v>151.85127938815899</v>
      </c>
      <c r="Y25" s="35">
        <v>153.7109392910304</v>
      </c>
      <c r="Z25" s="35">
        <v>1</v>
      </c>
      <c r="AB25" s="35">
        <v>107.40181075044917</v>
      </c>
      <c r="AD25" s="35">
        <v>1.8011042091804852</v>
      </c>
      <c r="AE25" s="35">
        <v>6.1905286455192297</v>
      </c>
      <c r="AF25" s="35">
        <v>3</v>
      </c>
      <c r="AG25" s="35">
        <v>3</v>
      </c>
      <c r="AH25" s="35">
        <v>-29.106750163323859</v>
      </c>
      <c r="AI25" s="35">
        <v>-24.858964818071598</v>
      </c>
      <c r="AJ25" s="35">
        <v>1</v>
      </c>
      <c r="AL25" s="35">
        <v>-24.463598009126009</v>
      </c>
      <c r="AN25" s="35" t="s">
        <v>60</v>
      </c>
      <c r="AO25" s="35">
        <v>5.8688203999032345</v>
      </c>
      <c r="AQ25" s="35" t="s">
        <v>59</v>
      </c>
      <c r="AR25" s="35">
        <v>-0.13288363104584588</v>
      </c>
      <c r="AT25">
        <f t="shared" si="7"/>
        <v>14</v>
      </c>
      <c r="AU25">
        <f t="shared" si="8"/>
        <v>3</v>
      </c>
      <c r="AV25">
        <f t="shared" si="9"/>
        <v>6.1905286455192297</v>
      </c>
      <c r="AW25">
        <f t="shared" si="13"/>
        <v>153.6246671089275</v>
      </c>
      <c r="AX25">
        <f t="shared" si="14"/>
        <v>-24.894510465644643</v>
      </c>
    </row>
    <row r="26" spans="2:50" x14ac:dyDescent="0.3">
      <c r="B26">
        <v>15</v>
      </c>
      <c r="C26">
        <v>3</v>
      </c>
      <c r="D26">
        <v>9.5028730390516749</v>
      </c>
      <c r="E26">
        <f t="shared" si="11"/>
        <v>107.40181075044917</v>
      </c>
      <c r="F26">
        <f t="shared" si="4"/>
        <v>-24.463598009126009</v>
      </c>
      <c r="G26">
        <f t="shared" si="12"/>
        <v>107.39911940437408</v>
      </c>
      <c r="H26">
        <f t="shared" si="15"/>
        <v>-24.461634930782733</v>
      </c>
      <c r="I26">
        <f t="shared" si="5"/>
        <v>7.2433436959353698E-2</v>
      </c>
      <c r="J26">
        <f t="shared" si="6"/>
        <v>3.8536765818419617E-3</v>
      </c>
      <c r="T26" s="35">
        <v>3</v>
      </c>
      <c r="U26" s="35">
        <v>3</v>
      </c>
      <c r="V26" s="35">
        <v>6.1905286455192297</v>
      </c>
      <c r="W26" s="35">
        <v>9.5028730390516749</v>
      </c>
      <c r="X26" s="35">
        <v>153.7109392910304</v>
      </c>
      <c r="Y26" s="35">
        <v>107.40181075044917</v>
      </c>
      <c r="Z26" s="35">
        <v>1</v>
      </c>
      <c r="AB26" s="35">
        <v>105.22046352412508</v>
      </c>
      <c r="AD26" s="35">
        <v>6.1905286455192297</v>
      </c>
      <c r="AE26" s="35">
        <v>9.5028730390516749</v>
      </c>
      <c r="AF26" s="35">
        <v>3</v>
      </c>
      <c r="AG26" s="35">
        <v>3</v>
      </c>
      <c r="AH26" s="35">
        <v>-24.858964818071598</v>
      </c>
      <c r="AI26" s="35">
        <v>-24.463598009126009</v>
      </c>
      <c r="AJ26" s="35">
        <v>1</v>
      </c>
      <c r="AL26" s="35">
        <v>-26.353749986860343</v>
      </c>
      <c r="AN26" s="35" t="s">
        <v>61</v>
      </c>
      <c r="AO26" s="35">
        <v>1.6673665446662003E-2</v>
      </c>
      <c r="AQ26" s="35" t="s">
        <v>58</v>
      </c>
      <c r="AR26" s="35">
        <v>-0.31100154793528245</v>
      </c>
      <c r="AT26">
        <f t="shared" si="7"/>
        <v>15</v>
      </c>
      <c r="AU26">
        <f t="shared" si="8"/>
        <v>3</v>
      </c>
      <c r="AV26">
        <f t="shared" si="9"/>
        <v>9.5028730390516749</v>
      </c>
      <c r="AW26">
        <f t="shared" si="13"/>
        <v>107.58000156554964</v>
      </c>
      <c r="AX26">
        <f t="shared" si="14"/>
        <v>-24.482508479635158</v>
      </c>
    </row>
    <row r="27" spans="2:50" x14ac:dyDescent="0.3">
      <c r="B27">
        <v>16</v>
      </c>
      <c r="C27">
        <v>5</v>
      </c>
      <c r="D27">
        <v>1.781191494567822</v>
      </c>
      <c r="E27">
        <f t="shared" si="11"/>
        <v>105.22046352412508</v>
      </c>
      <c r="F27">
        <f t="shared" si="4"/>
        <v>-26.353749986860343</v>
      </c>
      <c r="G27">
        <f t="shared" si="12"/>
        <v>105.22124968737251</v>
      </c>
      <c r="H27">
        <f t="shared" si="15"/>
        <v>-26.35157396299347</v>
      </c>
      <c r="I27">
        <f t="shared" si="5"/>
        <v>6.180526516033547E-3</v>
      </c>
      <c r="J27">
        <f t="shared" si="6"/>
        <v>4.7350798692023261E-3</v>
      </c>
      <c r="T27" s="35">
        <v>3</v>
      </c>
      <c r="U27" s="35">
        <v>5</v>
      </c>
      <c r="V27" s="35">
        <v>9.5028730390516749</v>
      </c>
      <c r="W27" s="35">
        <v>1.781191494567822</v>
      </c>
      <c r="X27" s="35">
        <v>107.40181075044917</v>
      </c>
      <c r="Y27" s="35">
        <v>105.22046352412508</v>
      </c>
      <c r="Z27" s="35">
        <v>1</v>
      </c>
      <c r="AB27" s="35">
        <v>125.80781504352113</v>
      </c>
      <c r="AD27" s="35">
        <v>9.5028730390516749</v>
      </c>
      <c r="AE27" s="35">
        <v>1.781191494567822</v>
      </c>
      <c r="AF27" s="35">
        <v>3</v>
      </c>
      <c r="AG27" s="35">
        <v>5</v>
      </c>
      <c r="AH27" s="35">
        <v>-24.463598009126009</v>
      </c>
      <c r="AI27" s="35">
        <v>-26.353749986860343</v>
      </c>
      <c r="AJ27" s="35">
        <v>1</v>
      </c>
      <c r="AL27" s="35">
        <v>-23.365309744994153</v>
      </c>
      <c r="AN27" s="35" t="s">
        <v>62</v>
      </c>
      <c r="AO27" s="35">
        <v>-1.9924065743466279E-3</v>
      </c>
      <c r="AQ27" s="35" t="s">
        <v>64</v>
      </c>
      <c r="AR27" s="35">
        <v>0.2796012727475975</v>
      </c>
      <c r="AT27">
        <f t="shared" si="7"/>
        <v>16</v>
      </c>
      <c r="AU27">
        <f t="shared" si="8"/>
        <v>5</v>
      </c>
      <c r="AV27">
        <f t="shared" si="9"/>
        <v>1.781191494567822</v>
      </c>
      <c r="AW27">
        <f t="shared" si="13"/>
        <v>105.30801839373973</v>
      </c>
      <c r="AX27">
        <f t="shared" si="14"/>
        <v>-26.373259522048727</v>
      </c>
    </row>
    <row r="28" spans="2:50" x14ac:dyDescent="0.3">
      <c r="B28">
        <v>17</v>
      </c>
      <c r="C28">
        <v>5</v>
      </c>
      <c r="D28">
        <v>3.34069448085656</v>
      </c>
      <c r="E28">
        <f t="shared" si="11"/>
        <v>125.80781504352113</v>
      </c>
      <c r="F28">
        <f t="shared" si="4"/>
        <v>-23.365309744994153</v>
      </c>
      <c r="G28">
        <f t="shared" si="12"/>
        <v>125.80993074898515</v>
      </c>
      <c r="H28">
        <f t="shared" si="15"/>
        <v>-23.367403722343969</v>
      </c>
      <c r="I28">
        <f t="shared" si="5"/>
        <v>4.4762096104895378E-2</v>
      </c>
      <c r="J28">
        <f t="shared" si="6"/>
        <v>4.3847411415409536E-3</v>
      </c>
      <c r="T28" s="35">
        <v>5</v>
      </c>
      <c r="U28" s="35">
        <v>5</v>
      </c>
      <c r="V28" s="35">
        <v>1.781191494567822</v>
      </c>
      <c r="W28" s="35">
        <v>3.34069448085656</v>
      </c>
      <c r="X28" s="35">
        <v>105.22046352412508</v>
      </c>
      <c r="Y28" s="35">
        <v>125.80781504352113</v>
      </c>
      <c r="Z28" s="35">
        <v>1</v>
      </c>
      <c r="AB28" s="35">
        <v>92.721000794058369</v>
      </c>
      <c r="AD28" s="35">
        <v>1.781191494567822</v>
      </c>
      <c r="AE28" s="35">
        <v>3.34069448085656</v>
      </c>
      <c r="AF28" s="35">
        <v>5</v>
      </c>
      <c r="AG28" s="35">
        <v>5</v>
      </c>
      <c r="AH28" s="35">
        <v>-26.353749986860343</v>
      </c>
      <c r="AI28" s="35">
        <v>-23.365309744994153</v>
      </c>
      <c r="AJ28" s="35">
        <v>1</v>
      </c>
      <c r="AL28" s="35">
        <v>-22.072792662561287</v>
      </c>
      <c r="AN28" s="35" t="s">
        <v>63</v>
      </c>
      <c r="AO28" s="35">
        <v>0.60994033205612919</v>
      </c>
      <c r="AQ28" s="35" t="s">
        <v>65</v>
      </c>
      <c r="AR28" s="35">
        <v>0.42118039623471798</v>
      </c>
      <c r="AT28">
        <f t="shared" si="7"/>
        <v>17</v>
      </c>
      <c r="AU28">
        <f t="shared" si="8"/>
        <v>5</v>
      </c>
      <c r="AV28">
        <f t="shared" si="9"/>
        <v>3.34069448085656</v>
      </c>
      <c r="AW28">
        <f t="shared" si="13"/>
        <v>125.55918030513629</v>
      </c>
      <c r="AX28">
        <f t="shared" si="14"/>
        <v>-23.366317050163566</v>
      </c>
    </row>
    <row r="29" spans="2:50" x14ac:dyDescent="0.3">
      <c r="B29">
        <v>18</v>
      </c>
      <c r="C29">
        <v>5</v>
      </c>
      <c r="D29">
        <v>2.5327396599926679</v>
      </c>
      <c r="E29">
        <f t="shared" si="11"/>
        <v>92.721000794058369</v>
      </c>
      <c r="F29">
        <f t="shared" si="4"/>
        <v>-22.072792662561287</v>
      </c>
      <c r="G29">
        <f t="shared" si="12"/>
        <v>92.719120561357201</v>
      </c>
      <c r="H29">
        <f t="shared" si="15"/>
        <v>-22.074368512550471</v>
      </c>
      <c r="I29">
        <f t="shared" si="5"/>
        <v>3.5352750105431617E-2</v>
      </c>
      <c r="J29">
        <f t="shared" si="6"/>
        <v>2.4833031884106092E-3</v>
      </c>
      <c r="T29" s="35">
        <v>5</v>
      </c>
      <c r="U29" s="35">
        <v>5</v>
      </c>
      <c r="V29" s="35">
        <v>3.34069448085656</v>
      </c>
      <c r="W29" s="35">
        <v>2.5327396599926679</v>
      </c>
      <c r="X29" s="35">
        <v>125.80781504352113</v>
      </c>
      <c r="Y29" s="35">
        <v>92.721000794058369</v>
      </c>
      <c r="Z29" s="35">
        <v>1</v>
      </c>
      <c r="AB29" s="35">
        <v>81.857082687410482</v>
      </c>
      <c r="AD29" s="35">
        <v>3.34069448085656</v>
      </c>
      <c r="AE29" s="35">
        <v>2.5327396599926679</v>
      </c>
      <c r="AF29" s="35">
        <v>5</v>
      </c>
      <c r="AG29" s="35">
        <v>5</v>
      </c>
      <c r="AH29" s="35">
        <v>-23.365309744994153</v>
      </c>
      <c r="AI29" s="35">
        <v>-22.072792662561287</v>
      </c>
      <c r="AJ29" s="35">
        <v>1</v>
      </c>
      <c r="AL29" s="35">
        <v>-20.530022425563075</v>
      </c>
      <c r="AN29" s="35" t="s">
        <v>66</v>
      </c>
      <c r="AO29" s="35"/>
      <c r="AQ29" s="35" t="s">
        <v>67</v>
      </c>
      <c r="AR29" s="35"/>
      <c r="AT29">
        <f t="shared" si="7"/>
        <v>18</v>
      </c>
      <c r="AU29">
        <f t="shared" si="8"/>
        <v>5</v>
      </c>
      <c r="AV29">
        <f t="shared" si="9"/>
        <v>2.5327396599926679</v>
      </c>
      <c r="AW29">
        <f t="shared" si="13"/>
        <v>92.728270984976987</v>
      </c>
      <c r="AX29">
        <f t="shared" si="14"/>
        <v>-22.071338966246223</v>
      </c>
    </row>
    <row r="30" spans="2:50" x14ac:dyDescent="0.3">
      <c r="B30">
        <v>19</v>
      </c>
      <c r="C30">
        <v>5</v>
      </c>
      <c r="D30">
        <v>6.3763942688414321</v>
      </c>
      <c r="E30">
        <f t="shared" si="11"/>
        <v>81.857082687410482</v>
      </c>
      <c r="F30">
        <f t="shared" si="4"/>
        <v>-20.530022425563075</v>
      </c>
      <c r="G30">
        <f t="shared" si="12"/>
        <v>81.857385098720513</v>
      </c>
      <c r="H30">
        <f t="shared" si="15"/>
        <v>-20.531311609674034</v>
      </c>
      <c r="I30">
        <f t="shared" si="5"/>
        <v>9.1452600434634027E-4</v>
      </c>
      <c r="J30">
        <f t="shared" si="6"/>
        <v>1.6619956719497674E-3</v>
      </c>
      <c r="T30" s="35">
        <v>5</v>
      </c>
      <c r="U30" s="35">
        <v>5</v>
      </c>
      <c r="V30" s="35">
        <v>2.5327396599926679</v>
      </c>
      <c r="W30" s="35">
        <v>6.3763942688414321</v>
      </c>
      <c r="X30" s="35">
        <v>92.721000794058369</v>
      </c>
      <c r="Y30" s="35">
        <v>81.857082687410482</v>
      </c>
      <c r="Z30" s="35">
        <v>1</v>
      </c>
      <c r="AB30" s="35">
        <v>70.499201515911622</v>
      </c>
      <c r="AD30" s="35">
        <v>2.5327396599926679</v>
      </c>
      <c r="AE30" s="35">
        <v>6.3763942688414321</v>
      </c>
      <c r="AF30" s="35">
        <v>5</v>
      </c>
      <c r="AG30" s="35">
        <v>5</v>
      </c>
      <c r="AH30" s="35">
        <v>-22.072792662561287</v>
      </c>
      <c r="AI30" s="35">
        <v>-20.530022425563075</v>
      </c>
      <c r="AJ30" s="35">
        <v>1</v>
      </c>
      <c r="AL30" s="35">
        <v>-21.879151925753611</v>
      </c>
      <c r="AT30">
        <f t="shared" si="7"/>
        <v>19</v>
      </c>
      <c r="AU30">
        <f t="shared" si="8"/>
        <v>5</v>
      </c>
      <c r="AV30">
        <f t="shared" si="9"/>
        <v>6.3763942688414321</v>
      </c>
      <c r="AW30">
        <f t="shared" si="13"/>
        <v>81.801998075666191</v>
      </c>
      <c r="AX30">
        <f t="shared" si="14"/>
        <v>-20.525422452676082</v>
      </c>
    </row>
    <row r="31" spans="2:50" x14ac:dyDescent="0.3">
      <c r="B31">
        <v>20</v>
      </c>
      <c r="C31">
        <v>5</v>
      </c>
      <c r="D31">
        <v>6.3763942688414321</v>
      </c>
      <c r="E31">
        <f t="shared" ref="E31:E36" si="17">EXP(-1/$Q$4)*E30+$O$4*(1-EXP(-1/$Q$4))*C30+$P$4*(1-EXP(-1/$Q$4))*D29</f>
        <v>70.499201515911622</v>
      </c>
      <c r="F31">
        <f t="shared" ref="F31:F36" si="18">EXP(-1/$Q$5)*F30+$O$5*(1-EXP(-1/$Q$5))*C30+$P$5*(1-EXP(-1/$Q$5))*D30</f>
        <v>-21.879151925753611</v>
      </c>
      <c r="G31">
        <f t="shared" si="12"/>
        <v>70.499071839779418</v>
      </c>
      <c r="H31">
        <f t="shared" ref="H31:H36" si="19">($F$6*C30+$F$5*C29+$F$4*C28)+($G$6*D30+$G$5*D29+$G$4*D28)+($H$6*H30+$H$5*H29+$H$4*H28)</f>
        <v>-21.880255278486459</v>
      </c>
      <c r="I31">
        <f t="shared" si="5"/>
        <v>1.6815899263344277E-4</v>
      </c>
      <c r="J31">
        <f t="shared" si="6"/>
        <v>1.2173872530829193E-3</v>
      </c>
      <c r="T31" s="35">
        <v>5</v>
      </c>
      <c r="U31" s="35">
        <v>5</v>
      </c>
      <c r="V31" s="35">
        <v>6.3763942688414321</v>
      </c>
      <c r="W31" s="35">
        <v>6.3763942688414321</v>
      </c>
      <c r="X31" s="35">
        <v>81.857082687410482</v>
      </c>
      <c r="Y31" s="35">
        <v>70.499201515911622</v>
      </c>
      <c r="Z31" s="35">
        <v>1</v>
      </c>
      <c r="AB31" s="35">
        <v>86.295702004568014</v>
      </c>
      <c r="AD31" s="35">
        <v>6.3763942688414321</v>
      </c>
      <c r="AE31" s="35">
        <v>6.3763942688414321</v>
      </c>
      <c r="AF31" s="35">
        <v>5</v>
      </c>
      <c r="AG31" s="35">
        <v>5</v>
      </c>
      <c r="AH31" s="35">
        <v>-20.530022425563075</v>
      </c>
      <c r="AI31" s="35">
        <v>-21.879151925753611</v>
      </c>
      <c r="AJ31" s="35">
        <v>1</v>
      </c>
      <c r="AL31" s="35">
        <v>-22.929855036966728</v>
      </c>
      <c r="AT31">
        <f t="shared" si="7"/>
        <v>20</v>
      </c>
      <c r="AU31">
        <f t="shared" si="8"/>
        <v>5</v>
      </c>
      <c r="AV31">
        <f t="shared" si="9"/>
        <v>6.3763942688414321</v>
      </c>
      <c r="AW31">
        <f t="shared" si="13"/>
        <v>70.525382144950825</v>
      </c>
      <c r="AX31">
        <f t="shared" si="14"/>
        <v>-21.859585350617614</v>
      </c>
    </row>
    <row r="32" spans="2:50" x14ac:dyDescent="0.3">
      <c r="B32">
        <v>21</v>
      </c>
      <c r="C32">
        <v>5</v>
      </c>
      <c r="D32">
        <v>6.3763942688414321</v>
      </c>
      <c r="E32">
        <f t="shared" si="17"/>
        <v>86.295702004568014</v>
      </c>
      <c r="F32">
        <f t="shared" si="18"/>
        <v>-22.929855036966728</v>
      </c>
      <c r="G32">
        <f t="shared" si="12"/>
        <v>86.297174636229698</v>
      </c>
      <c r="H32">
        <f t="shared" si="19"/>
        <v>-22.930431182698108</v>
      </c>
      <c r="I32">
        <f t="shared" si="5"/>
        <v>2.1686440109954498E-2</v>
      </c>
      <c r="J32">
        <f t="shared" si="6"/>
        <v>3.3194390378686551E-4</v>
      </c>
      <c r="T32" s="35">
        <v>5</v>
      </c>
      <c r="U32" s="35">
        <v>5</v>
      </c>
      <c r="V32" s="35">
        <v>6.3763942688414321</v>
      </c>
      <c r="W32" s="35">
        <v>6.3763942688414321</v>
      </c>
      <c r="X32" s="35">
        <v>70.499201515911622</v>
      </c>
      <c r="Y32" s="35">
        <v>86.295702004568014</v>
      </c>
      <c r="Z32" s="35">
        <v>1</v>
      </c>
      <c r="AB32" s="35">
        <v>95.876763867103705</v>
      </c>
      <c r="AD32" s="35">
        <v>6.3763942688414321</v>
      </c>
      <c r="AE32" s="35">
        <v>6.3763942688414321</v>
      </c>
      <c r="AF32" s="35">
        <v>5</v>
      </c>
      <c r="AG32" s="35">
        <v>5</v>
      </c>
      <c r="AH32" s="35">
        <v>-21.879151925753611</v>
      </c>
      <c r="AI32" s="35">
        <v>-22.929855036966728</v>
      </c>
      <c r="AJ32" s="35">
        <v>1</v>
      </c>
      <c r="AL32" s="35">
        <v>-23.748143442755065</v>
      </c>
      <c r="AT32">
        <f t="shared" si="7"/>
        <v>21</v>
      </c>
      <c r="AU32">
        <f t="shared" si="8"/>
        <v>5</v>
      </c>
      <c r="AV32">
        <f t="shared" si="9"/>
        <v>6.3763942688414321</v>
      </c>
      <c r="AW32">
        <f t="shared" si="13"/>
        <v>86.226807436272182</v>
      </c>
      <c r="AX32">
        <f t="shared" si="14"/>
        <v>-22.912166215172554</v>
      </c>
    </row>
    <row r="33" spans="2:50" x14ac:dyDescent="0.3">
      <c r="B33">
        <v>22</v>
      </c>
      <c r="C33">
        <v>5</v>
      </c>
      <c r="D33">
        <v>6.3763942688414321</v>
      </c>
      <c r="E33">
        <f t="shared" si="17"/>
        <v>95.876763867103705</v>
      </c>
      <c r="F33">
        <f t="shared" si="18"/>
        <v>-23.748143442755065</v>
      </c>
      <c r="G33">
        <f t="shared" si="12"/>
        <v>95.877260036975684</v>
      </c>
      <c r="H33">
        <f t="shared" si="19"/>
        <v>-23.748314509331191</v>
      </c>
      <c r="I33">
        <f t="shared" si="5"/>
        <v>2.4618454186029824E-3</v>
      </c>
      <c r="J33">
        <f t="shared" si="6"/>
        <v>2.9263773467426955E-5</v>
      </c>
      <c r="T33" s="35">
        <v>5</v>
      </c>
      <c r="U33" s="35">
        <v>5</v>
      </c>
      <c r="V33" s="35">
        <v>6.3763942688414321</v>
      </c>
      <c r="W33" s="35">
        <v>6.3763942688414321</v>
      </c>
      <c r="X33" s="35">
        <v>86.295702004568014</v>
      </c>
      <c r="Y33" s="35">
        <v>95.876763867103705</v>
      </c>
      <c r="Z33" s="35">
        <v>1</v>
      </c>
      <c r="AB33" s="35">
        <v>101.68797163933503</v>
      </c>
      <c r="AD33" s="35">
        <v>6.3763942688414321</v>
      </c>
      <c r="AE33" s="35">
        <v>6.3763942688414321</v>
      </c>
      <c r="AF33" s="35">
        <v>5</v>
      </c>
      <c r="AG33" s="35">
        <v>5</v>
      </c>
      <c r="AH33" s="35">
        <v>-22.929855036966728</v>
      </c>
      <c r="AI33" s="35">
        <v>-23.748143442755065</v>
      </c>
      <c r="AJ33" s="35">
        <v>1</v>
      </c>
      <c r="AL33" s="35">
        <v>-24.385427093961276</v>
      </c>
      <c r="AT33">
        <f t="shared" si="7"/>
        <v>22</v>
      </c>
      <c r="AU33">
        <f t="shared" si="8"/>
        <v>5</v>
      </c>
      <c r="AV33">
        <f t="shared" si="9"/>
        <v>6.3763942688414321</v>
      </c>
      <c r="AW33">
        <f t="shared" si="13"/>
        <v>95.826207595931976</v>
      </c>
      <c r="AX33">
        <f t="shared" si="14"/>
        <v>-23.728526285091963</v>
      </c>
    </row>
    <row r="34" spans="2:50" x14ac:dyDescent="0.3">
      <c r="B34">
        <v>23</v>
      </c>
      <c r="C34">
        <v>5</v>
      </c>
      <c r="D34">
        <v>6.3763942688414321</v>
      </c>
      <c r="E34">
        <f t="shared" si="17"/>
        <v>101.68797163933503</v>
      </c>
      <c r="F34">
        <f t="shared" si="18"/>
        <v>-24.385427093961276</v>
      </c>
      <c r="G34">
        <f t="shared" si="12"/>
        <v>101.68804471314459</v>
      </c>
      <c r="H34">
        <f t="shared" si="19"/>
        <v>-24.385268898288587</v>
      </c>
      <c r="I34">
        <f t="shared" si="5"/>
        <v>5.3397816435800399E-5</v>
      </c>
      <c r="J34">
        <f t="shared" si="6"/>
        <v>2.5025870857679401E-5</v>
      </c>
      <c r="T34" s="35">
        <v>5</v>
      </c>
      <c r="U34" s="35">
        <v>5</v>
      </c>
      <c r="V34" s="35">
        <v>6.3763942688414321</v>
      </c>
      <c r="W34" s="35">
        <v>6.3763942688414321</v>
      </c>
      <c r="X34" s="35">
        <v>95.876763867103705</v>
      </c>
      <c r="Y34" s="35">
        <v>101.68797163933503</v>
      </c>
      <c r="Z34" s="35">
        <v>1</v>
      </c>
      <c r="AB34" s="35">
        <v>105.21264732315369</v>
      </c>
      <c r="AD34" s="35">
        <v>6.3763942688414321</v>
      </c>
      <c r="AE34" s="35">
        <v>6.3763942688414321</v>
      </c>
      <c r="AF34" s="35">
        <v>5</v>
      </c>
      <c r="AG34" s="35">
        <v>5</v>
      </c>
      <c r="AH34" s="35">
        <v>-23.748143442755065</v>
      </c>
      <c r="AI34" s="35">
        <v>-24.385427093961276</v>
      </c>
      <c r="AJ34" s="35">
        <v>1</v>
      </c>
      <c r="AL34" s="35">
        <v>-24.881744100559274</v>
      </c>
      <c r="AT34">
        <f t="shared" si="7"/>
        <v>23</v>
      </c>
      <c r="AU34">
        <f t="shared" si="8"/>
        <v>5</v>
      </c>
      <c r="AV34">
        <f t="shared" si="9"/>
        <v>6.3763942688414321</v>
      </c>
      <c r="AW34">
        <f t="shared" si="13"/>
        <v>101.64998529387749</v>
      </c>
      <c r="AX34">
        <f t="shared" si="14"/>
        <v>-24.366664092210151</v>
      </c>
    </row>
    <row r="35" spans="2:50" x14ac:dyDescent="0.3">
      <c r="B35">
        <v>24</v>
      </c>
      <c r="C35">
        <v>5</v>
      </c>
      <c r="D35">
        <v>6.3763942688414321</v>
      </c>
      <c r="E35">
        <f t="shared" si="17"/>
        <v>105.21264732315369</v>
      </c>
      <c r="F35">
        <f t="shared" si="18"/>
        <v>-24.881744100559274</v>
      </c>
      <c r="G35">
        <f t="shared" si="12"/>
        <v>105.21256624609745</v>
      </c>
      <c r="H35">
        <f t="shared" si="19"/>
        <v>-24.88131981580413</v>
      </c>
      <c r="I35">
        <f t="shared" si="5"/>
        <v>6.5734890480126558E-5</v>
      </c>
      <c r="J35">
        <f t="shared" si="6"/>
        <v>1.8001755344807497E-4</v>
      </c>
      <c r="T35" s="35">
        <v>5</v>
      </c>
      <c r="U35" s="35">
        <v>5</v>
      </c>
      <c r="V35" s="35">
        <v>6.3763942688414321</v>
      </c>
      <c r="W35" s="35">
        <v>6.3763942688414321</v>
      </c>
      <c r="X35" s="35">
        <v>101.68797163933503</v>
      </c>
      <c r="Y35" s="35">
        <v>105.21264732315369</v>
      </c>
      <c r="Z35" s="35">
        <v>1</v>
      </c>
      <c r="AB35" s="35">
        <v>107.35047119093329</v>
      </c>
      <c r="AD35" s="35">
        <v>6.3763942688414321</v>
      </c>
      <c r="AE35" s="35">
        <v>6.3763942688414321</v>
      </c>
      <c r="AF35" s="35">
        <v>5</v>
      </c>
      <c r="AG35" s="35">
        <v>5</v>
      </c>
      <c r="AH35" s="35">
        <v>-24.385427093961276</v>
      </c>
      <c r="AI35" s="35">
        <v>-24.881744100559274</v>
      </c>
      <c r="AJ35" s="35">
        <v>1</v>
      </c>
      <c r="AL35" s="35">
        <v>-25.268276173949452</v>
      </c>
      <c r="AT35">
        <f t="shared" si="7"/>
        <v>24</v>
      </c>
      <c r="AU35">
        <f t="shared" si="8"/>
        <v>5</v>
      </c>
      <c r="AV35">
        <f t="shared" si="9"/>
        <v>6.3763942688414321</v>
      </c>
      <c r="AW35">
        <f t="shared" si="13"/>
        <v>105.18301628879557</v>
      </c>
      <c r="AX35">
        <f t="shared" si="14"/>
        <v>-24.863690541234327</v>
      </c>
    </row>
    <row r="36" spans="2:50" x14ac:dyDescent="0.3">
      <c r="B36">
        <v>25</v>
      </c>
      <c r="C36">
        <v>5</v>
      </c>
      <c r="D36">
        <v>6.3763942688414321</v>
      </c>
      <c r="E36">
        <f t="shared" si="17"/>
        <v>107.35047119093329</v>
      </c>
      <c r="F36">
        <f t="shared" si="18"/>
        <v>-25.268276173949452</v>
      </c>
      <c r="G36">
        <f t="shared" si="12"/>
        <v>107.35035876958744</v>
      </c>
      <c r="H36">
        <f t="shared" si="19"/>
        <v>-25.267637072034226</v>
      </c>
      <c r="I36">
        <f t="shared" si="5"/>
        <v>1.2638559001998918E-4</v>
      </c>
      <c r="J36">
        <f t="shared" si="6"/>
        <v>4.0845125804565938E-4</v>
      </c>
      <c r="AT36">
        <f t="shared" si="7"/>
        <v>25</v>
      </c>
      <c r="AU36">
        <f t="shared" si="8"/>
        <v>5</v>
      </c>
      <c r="AV36">
        <f t="shared" si="9"/>
        <v>6.3763942688414321</v>
      </c>
      <c r="AW36">
        <f t="shared" si="13"/>
        <v>107.32635105402758</v>
      </c>
      <c r="AX36">
        <f t="shared" si="14"/>
        <v>-25.251452481032072</v>
      </c>
    </row>
    <row r="38" spans="2:50" x14ac:dyDescent="0.3">
      <c r="H38" t="s">
        <v>17</v>
      </c>
      <c r="I38">
        <f>SUM(I11:I36)</f>
        <v>0.28883931583130412</v>
      </c>
      <c r="J38">
        <f>SUM(J11:J36)</f>
        <v>6.0260584208144119E-2</v>
      </c>
    </row>
    <row r="39" spans="2:50" x14ac:dyDescent="0.3">
      <c r="T39">
        <f>U11</f>
        <v>0</v>
      </c>
      <c r="U39">
        <f>W11</f>
        <v>0</v>
      </c>
      <c r="V39">
        <f>Y11</f>
        <v>0</v>
      </c>
      <c r="X39">
        <f>AE11</f>
        <v>0</v>
      </c>
      <c r="Y39">
        <f>AG11</f>
        <v>0</v>
      </c>
      <c r="Z39">
        <f>AI11</f>
        <v>0</v>
      </c>
      <c r="AB39" t="s">
        <v>52</v>
      </c>
      <c r="AC39" t="s">
        <v>53</v>
      </c>
      <c r="AN39" t="s">
        <v>70</v>
      </c>
    </row>
    <row r="40" spans="2:50" x14ac:dyDescent="0.3">
      <c r="H40" t="s">
        <v>18</v>
      </c>
      <c r="J40">
        <f>SUM(I11:J36)</f>
        <v>0.34909990003944824</v>
      </c>
      <c r="T40">
        <f t="shared" ref="T40:T62" si="20">U12</f>
        <v>0</v>
      </c>
      <c r="U40">
        <f t="shared" ref="U40:U63" si="21">W12</f>
        <v>0</v>
      </c>
      <c r="V40">
        <f t="shared" ref="V40:V63" si="22">Y12</f>
        <v>0</v>
      </c>
      <c r="X40">
        <f t="shared" ref="X40:X63" si="23">AE12</f>
        <v>0</v>
      </c>
      <c r="Y40">
        <f t="shared" ref="Y40:Y63" si="24">AG12</f>
        <v>0</v>
      </c>
      <c r="Z40">
        <f t="shared" ref="Z40:Z63" si="25">AI12</f>
        <v>0</v>
      </c>
      <c r="AB40" cm="1">
        <f t="array" ref="AB40:AB42">MMULT(MMULT(MINVERSE(MMULT(TRANSPOSE(T39:V63),T39:V63)),TRANSPOSE(T39:V63)),_xlfn.ANCHORARRAY(AB11))*0+_xlfn.ANCHORARRAY(AF52)</f>
        <v>0.32400144144068677</v>
      </c>
      <c r="AC40" cm="1">
        <f t="array" ref="AC40:AC42">MMULT(MMULT(MINVERSE(MMULT(TRANSPOSE(X39:Z63),X39:Z63)),TRANSPOSE(X39:Z63)),_xlfn.ANCHORARRAY(AL11))*0+_xlfn.ANCHORARRAY(AJ52)*1</f>
        <v>-0.48641019501023447</v>
      </c>
      <c r="AF40" cm="1">
        <f t="array" ref="AF40:AH42">MMULT(TRANSPOSE(T39:V63),T39:V63)</f>
        <v>306</v>
      </c>
      <c r="AG40">
        <v>459.14158675578761</v>
      </c>
      <c r="AH40">
        <v>7695.4213005635665</v>
      </c>
      <c r="AJ40" cm="1">
        <f t="array" ref="AJ40:AL42">MMULT(TRANSPOSE(X39:Z63),X39:Z63)</f>
        <v>1171.9389382055456</v>
      </c>
      <c r="AK40">
        <v>459.14158675578761</v>
      </c>
      <c r="AL40">
        <v>-2825.5459122659859</v>
      </c>
      <c r="AT40">
        <f>AT11</f>
        <v>0</v>
      </c>
      <c r="AU40">
        <f t="shared" ref="AU40:AV40" si="26">AU11</f>
        <v>0</v>
      </c>
      <c r="AV40">
        <f t="shared" si="26"/>
        <v>0</v>
      </c>
      <c r="AW40">
        <v>0</v>
      </c>
      <c r="AX40">
        <v>0</v>
      </c>
    </row>
    <row r="41" spans="2:50" x14ac:dyDescent="0.3">
      <c r="B41" s="3" t="s">
        <v>48</v>
      </c>
      <c r="T41">
        <f t="shared" si="20"/>
        <v>0</v>
      </c>
      <c r="U41">
        <f t="shared" si="21"/>
        <v>0</v>
      </c>
      <c r="V41">
        <f t="shared" si="22"/>
        <v>0</v>
      </c>
      <c r="X41">
        <f t="shared" si="23"/>
        <v>0</v>
      </c>
      <c r="Y41">
        <f t="shared" si="24"/>
        <v>0</v>
      </c>
      <c r="Z41">
        <f t="shared" si="25"/>
        <v>0</v>
      </c>
      <c r="AB41">
        <v>1.9151548590548482</v>
      </c>
      <c r="AC41">
        <v>-0.148249476099931</v>
      </c>
      <c r="AF41">
        <v>459.14158675578761</v>
      </c>
      <c r="AG41">
        <v>1171.9389382055456</v>
      </c>
      <c r="AH41">
        <v>13586.078647823031</v>
      </c>
      <c r="AJ41">
        <v>459.14158675578761</v>
      </c>
      <c r="AK41">
        <v>306</v>
      </c>
      <c r="AL41">
        <v>-1666.5053124618435</v>
      </c>
      <c r="AN41" t="s">
        <v>71</v>
      </c>
      <c r="AT41">
        <f t="shared" ref="AT41:AV41" si="27">AT12</f>
        <v>1</v>
      </c>
      <c r="AU41">
        <f t="shared" si="27"/>
        <v>0</v>
      </c>
      <c r="AV41">
        <f t="shared" si="27"/>
        <v>0</v>
      </c>
      <c r="AW41">
        <v>0</v>
      </c>
      <c r="AX41">
        <v>0</v>
      </c>
    </row>
    <row r="42" spans="2:50" x14ac:dyDescent="0.3">
      <c r="B42" s="3" t="s">
        <v>0</v>
      </c>
      <c r="C42" s="3" t="s">
        <v>1</v>
      </c>
      <c r="D42" s="3" t="s">
        <v>2</v>
      </c>
      <c r="E42" s="3" t="s">
        <v>3</v>
      </c>
      <c r="F42" s="3" t="s">
        <v>4</v>
      </c>
      <c r="G42" s="3" t="s">
        <v>5</v>
      </c>
      <c r="H42" s="3" t="s">
        <v>6</v>
      </c>
      <c r="I42" s="3" t="s">
        <v>15</v>
      </c>
      <c r="J42" s="3" t="s">
        <v>16</v>
      </c>
      <c r="T42">
        <f t="shared" si="20"/>
        <v>0</v>
      </c>
      <c r="U42">
        <f t="shared" si="21"/>
        <v>0</v>
      </c>
      <c r="V42">
        <f t="shared" si="22"/>
        <v>0</v>
      </c>
      <c r="X42">
        <f t="shared" si="23"/>
        <v>0</v>
      </c>
      <c r="Y42">
        <f t="shared" si="24"/>
        <v>0</v>
      </c>
      <c r="Z42">
        <f t="shared" si="25"/>
        <v>0</v>
      </c>
      <c r="AB42">
        <v>0.88069507073510944</v>
      </c>
      <c r="AC42">
        <v>0.8390813358578042</v>
      </c>
      <c r="AF42">
        <v>7695.4213005635665</v>
      </c>
      <c r="AG42">
        <v>13586.078647823031</v>
      </c>
      <c r="AH42">
        <v>233000.60029666574</v>
      </c>
      <c r="AJ42">
        <v>-2825.5459122659859</v>
      </c>
      <c r="AK42">
        <v>-1666.5053124618435</v>
      </c>
      <c r="AL42">
        <v>9899.8249935963649</v>
      </c>
      <c r="AT42">
        <f t="shared" ref="AT42:AV42" si="28">AT13</f>
        <v>2</v>
      </c>
      <c r="AU42">
        <f t="shared" si="28"/>
        <v>0</v>
      </c>
      <c r="AV42">
        <f t="shared" si="28"/>
        <v>0</v>
      </c>
      <c r="AW42">
        <v>0</v>
      </c>
      <c r="AX42">
        <v>0</v>
      </c>
    </row>
    <row r="43" spans="2:50" x14ac:dyDescent="0.3">
      <c r="T43">
        <f t="shared" si="20"/>
        <v>0</v>
      </c>
      <c r="U43">
        <f t="shared" si="21"/>
        <v>1</v>
      </c>
      <c r="V43">
        <f t="shared" si="22"/>
        <v>0</v>
      </c>
      <c r="X43">
        <f t="shared" si="23"/>
        <v>1</v>
      </c>
      <c r="Y43">
        <f t="shared" si="24"/>
        <v>0</v>
      </c>
      <c r="Z43">
        <f t="shared" si="25"/>
        <v>0</v>
      </c>
      <c r="AT43">
        <f t="shared" ref="AT43:AV43" si="29">AT14</f>
        <v>3</v>
      </c>
      <c r="AU43">
        <f t="shared" si="29"/>
        <v>0</v>
      </c>
      <c r="AV43">
        <f t="shared" si="29"/>
        <v>0</v>
      </c>
      <c r="AW43">
        <f>$AB$40*AU42+$AB$41*AV42+$AB$42*AW42</f>
        <v>0</v>
      </c>
      <c r="AX43">
        <f>$AC$41*AU42+$AC$40*AV42+$AC$42*AX42</f>
        <v>0</v>
      </c>
    </row>
    <row r="44" spans="2:50" x14ac:dyDescent="0.3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f>(G44-E44)^2</f>
        <v>0</v>
      </c>
      <c r="J44">
        <f>(H44-F44)^2</f>
        <v>0</v>
      </c>
      <c r="T44">
        <f t="shared" si="20"/>
        <v>0</v>
      </c>
      <c r="U44">
        <f t="shared" si="21"/>
        <v>9.8385062684558449</v>
      </c>
      <c r="V44">
        <f t="shared" si="22"/>
        <v>0</v>
      </c>
      <c r="X44">
        <f t="shared" si="23"/>
        <v>9.8385062684558449</v>
      </c>
      <c r="Y44">
        <f t="shared" si="24"/>
        <v>0</v>
      </c>
      <c r="Z44">
        <f t="shared" si="25"/>
        <v>-0.66359765078578536</v>
      </c>
      <c r="AF44">
        <f>AE46</f>
        <v>250</v>
      </c>
      <c r="AG44">
        <f>0</f>
        <v>0</v>
      </c>
      <c r="AH44">
        <f>0</f>
        <v>0</v>
      </c>
      <c r="AJ44">
        <f>AI46</f>
        <v>250</v>
      </c>
      <c r="AK44">
        <f>0</f>
        <v>0</v>
      </c>
      <c r="AL44">
        <f>0</f>
        <v>0</v>
      </c>
      <c r="AT44">
        <f t="shared" ref="AT44:AV44" si="30">AT15</f>
        <v>4</v>
      </c>
      <c r="AU44">
        <f t="shared" si="30"/>
        <v>0</v>
      </c>
      <c r="AV44">
        <f t="shared" si="30"/>
        <v>1</v>
      </c>
      <c r="AW44">
        <f>$AB$40*AU43+$AB$41*AV43+$AB$42*AW43</f>
        <v>0</v>
      </c>
      <c r="AX44">
        <f>$AC$41*AU43+$AC$40*AV43+$AC$42*AX43</f>
        <v>0</v>
      </c>
    </row>
    <row r="45" spans="2:50" x14ac:dyDescent="0.3">
      <c r="B45">
        <v>1</v>
      </c>
      <c r="C45">
        <v>0</v>
      </c>
      <c r="D45">
        <v>0</v>
      </c>
      <c r="E45">
        <f>EXP(-1/$Q$4)*E44+$O$4*(1-EXP(-1/$Q$4))*C44+$P$4*(1-EXP(-1/$Q$4))*D44</f>
        <v>0</v>
      </c>
      <c r="F45">
        <f>EXP(-1/$Q$5)*F44+$O$5*(1-EXP(-1/$Q$5))*C44+$P$5*(1-EXP(-1/$Q$5))*D44</f>
        <v>0</v>
      </c>
      <c r="G45">
        <v>0</v>
      </c>
      <c r="H45">
        <v>0</v>
      </c>
      <c r="I45">
        <f t="shared" ref="I45:I52" si="31">(G45-E45)^2</f>
        <v>0</v>
      </c>
      <c r="J45">
        <f t="shared" ref="J45:J63" si="32">(H45-F45)^2</f>
        <v>0</v>
      </c>
      <c r="T45">
        <f t="shared" si="20"/>
        <v>0</v>
      </c>
      <c r="U45">
        <f t="shared" si="21"/>
        <v>9.8385062684558449</v>
      </c>
      <c r="V45">
        <f t="shared" si="22"/>
        <v>5.9020401043104984</v>
      </c>
      <c r="X45">
        <f t="shared" si="23"/>
        <v>9.8385062684558449</v>
      </c>
      <c r="Y45">
        <f t="shared" si="24"/>
        <v>0</v>
      </c>
      <c r="Z45">
        <f t="shared" si="25"/>
        <v>-7.0456200170648362</v>
      </c>
      <c r="AF45">
        <f>0</f>
        <v>0</v>
      </c>
      <c r="AG45">
        <f>AE46</f>
        <v>250</v>
      </c>
      <c r="AH45">
        <f>0</f>
        <v>0</v>
      </c>
      <c r="AJ45">
        <f>0</f>
        <v>0</v>
      </c>
      <c r="AK45">
        <f>AI46</f>
        <v>250</v>
      </c>
      <c r="AL45">
        <f>0</f>
        <v>0</v>
      </c>
      <c r="AT45">
        <f t="shared" ref="AT45:AV45" si="33">AT16</f>
        <v>5</v>
      </c>
      <c r="AU45">
        <f t="shared" si="33"/>
        <v>0</v>
      </c>
      <c r="AV45">
        <f t="shared" si="33"/>
        <v>9.8385062684558449</v>
      </c>
      <c r="AW45">
        <f>$AB$40*AU44+$AB$41*AV44+$AB$42*AW44</f>
        <v>1.9151548590548482</v>
      </c>
      <c r="AX45">
        <f>$AC$41*AU44+$AC$40*AV44+$AC$42*AX44</f>
        <v>-0.48641019501023447</v>
      </c>
    </row>
    <row r="46" spans="2:50" x14ac:dyDescent="0.3">
      <c r="B46">
        <v>2</v>
      </c>
      <c r="C46">
        <v>0</v>
      </c>
      <c r="D46">
        <v>0</v>
      </c>
      <c r="E46">
        <f>EXP(-1/$Q$4)*E45+$O$4*(1-EXP(-1/$Q$4))*C45+$P$4*(1-EXP(-1/$Q$4))*D44</f>
        <v>0</v>
      </c>
      <c r="F46">
        <f t="shared" ref="F46:F63" si="34">EXP(-1/$Q$5)*F45+$O$5*(1-EXP(-1/$Q$5))*C45+$P$5*(1-EXP(-1/$Q$5))*D45</f>
        <v>0</v>
      </c>
      <c r="G46">
        <v>0</v>
      </c>
      <c r="H46">
        <v>0</v>
      </c>
      <c r="I46">
        <f t="shared" si="31"/>
        <v>0</v>
      </c>
      <c r="J46">
        <f t="shared" si="32"/>
        <v>0</v>
      </c>
      <c r="T46">
        <f t="shared" si="20"/>
        <v>3</v>
      </c>
      <c r="U46">
        <f t="shared" si="21"/>
        <v>9.8385062684558449</v>
      </c>
      <c r="V46">
        <f t="shared" si="22"/>
        <v>61.647026841054497</v>
      </c>
      <c r="X46">
        <f t="shared" si="23"/>
        <v>9.8385062684558449</v>
      </c>
      <c r="Y46">
        <f t="shared" si="24"/>
        <v>3</v>
      </c>
      <c r="Z46">
        <f t="shared" si="25"/>
        <v>-12.015944033502182</v>
      </c>
      <c r="AE46">
        <v>250</v>
      </c>
      <c r="AF46">
        <f>0</f>
        <v>0</v>
      </c>
      <c r="AG46">
        <f>0</f>
        <v>0</v>
      </c>
      <c r="AH46">
        <f>AE46</f>
        <v>250</v>
      </c>
      <c r="AI46">
        <v>250</v>
      </c>
      <c r="AJ46">
        <f>0</f>
        <v>0</v>
      </c>
      <c r="AK46">
        <f>0</f>
        <v>0</v>
      </c>
      <c r="AL46">
        <f>AI46</f>
        <v>250</v>
      </c>
      <c r="AT46">
        <f t="shared" ref="AT46:AV46" si="35">AT17</f>
        <v>6</v>
      </c>
      <c r="AU46">
        <f t="shared" si="35"/>
        <v>0</v>
      </c>
      <c r="AV46">
        <f t="shared" si="35"/>
        <v>9.8385062684558449</v>
      </c>
      <c r="AW46">
        <f t="shared" ref="AW46:AW65" si="36">$AB$40*AU45+$AB$41*AV45+$AB$42*AW45</f>
        <v>20.528930529938794</v>
      </c>
      <c r="AX46">
        <f t="shared" ref="AX46:AX65" si="37">$AC$41*AU45+$AC$40*AV45+$AC$42*AX45</f>
        <v>-5.1936874688530645</v>
      </c>
    </row>
    <row r="47" spans="2:50" x14ac:dyDescent="0.3">
      <c r="B47">
        <v>3</v>
      </c>
      <c r="C47">
        <v>0</v>
      </c>
      <c r="D47">
        <v>0</v>
      </c>
      <c r="E47">
        <f t="shared" ref="E47:E63" si="38">EXP(-1/$Q$4)*E46+$O$4*(1-EXP(-1/$Q$4))*C46+$P$4*(1-EXP(-1/$Q$4))*D45</f>
        <v>0</v>
      </c>
      <c r="F47">
        <f t="shared" si="34"/>
        <v>0</v>
      </c>
      <c r="G47">
        <f t="shared" ref="G47:G63" si="39">($B$6*C46+$B$5*C45+$B$4*C44)+($C$6*D46+$C$5*D45+$C$4*D44)+($D$6*G46+$D$5*G45+$D$4*G44)</f>
        <v>0</v>
      </c>
      <c r="H47">
        <f>($B$6*C46+$B$5*C45+$B$4*C44)+($C$6*D46+$C$5*D45+$C$4*D44)+($D$6*G46+$D$5*G45+$D$4*G44)</f>
        <v>0</v>
      </c>
      <c r="I47">
        <f t="shared" si="31"/>
        <v>0</v>
      </c>
      <c r="J47">
        <f t="shared" si="32"/>
        <v>0</v>
      </c>
      <c r="T47">
        <f t="shared" si="20"/>
        <v>3</v>
      </c>
      <c r="U47">
        <f t="shared" si="21"/>
        <v>9.8385062684558449</v>
      </c>
      <c r="V47">
        <f t="shared" si="22"/>
        <v>98.999294484750138</v>
      </c>
      <c r="X47">
        <f t="shared" si="23"/>
        <v>9.8385062684558449</v>
      </c>
      <c r="Y47">
        <f t="shared" si="24"/>
        <v>3</v>
      </c>
      <c r="Z47">
        <f t="shared" si="25"/>
        <v>-16.882232745800877</v>
      </c>
      <c r="AT47">
        <f t="shared" ref="AT47:AV47" si="40">AT18</f>
        <v>7</v>
      </c>
      <c r="AU47">
        <f t="shared" si="40"/>
        <v>3</v>
      </c>
      <c r="AV47">
        <f t="shared" si="40"/>
        <v>9.8385062684558449</v>
      </c>
      <c r="AW47">
        <f t="shared" si="36"/>
        <v>36.92199101105539</v>
      </c>
      <c r="AX47">
        <f t="shared" si="37"/>
        <v>-9.1434759720421894</v>
      </c>
    </row>
    <row r="48" spans="2:50" x14ac:dyDescent="0.3">
      <c r="B48">
        <v>4</v>
      </c>
      <c r="C48">
        <v>1</v>
      </c>
      <c r="D48">
        <v>0</v>
      </c>
      <c r="E48">
        <f t="shared" si="38"/>
        <v>0</v>
      </c>
      <c r="F48">
        <f t="shared" si="34"/>
        <v>0</v>
      </c>
      <c r="G48">
        <f t="shared" si="39"/>
        <v>0</v>
      </c>
      <c r="H48">
        <f>($F$6*C47+$F$5*C46+$F$4*C45)+($G$6*D47+$G$5*D46+$G$4*D45)+($H$6*H47+$H$5*H46+$H$4*H45)</f>
        <v>0</v>
      </c>
      <c r="I48">
        <f t="shared" si="31"/>
        <v>0</v>
      </c>
      <c r="J48">
        <f t="shared" si="32"/>
        <v>0</v>
      </c>
      <c r="T48">
        <f t="shared" si="20"/>
        <v>3</v>
      </c>
      <c r="U48">
        <f t="shared" si="21"/>
        <v>9.8385062684558449</v>
      </c>
      <c r="V48">
        <f t="shared" si="22"/>
        <v>121.65459002044371</v>
      </c>
      <c r="X48">
        <f t="shared" si="23"/>
        <v>9.8385062684558449</v>
      </c>
      <c r="Y48">
        <f t="shared" si="24"/>
        <v>3</v>
      </c>
      <c r="Z48">
        <f t="shared" si="25"/>
        <v>-20.672102205590637</v>
      </c>
      <c r="AF48" cm="1">
        <f t="array" ref="AF48:AH50">MINVERSE(_xlfn.ANCHORARRAY(AF40)+AF44:AH46)</f>
        <v>3.3120986492993429E-3</v>
      </c>
      <c r="AG48">
        <v>-5.7296017127120368E-5</v>
      </c>
      <c r="AH48">
        <v>-1.0593570292664805E-4</v>
      </c>
      <c r="AJ48" cm="1">
        <f t="array" ref="AJ48:AL50">MINVERSE(_xlfn.ANCHORARRAY(AJ40)+AJ44:AL46)</f>
        <v>1.5741292198252015E-3</v>
      </c>
      <c r="AK48">
        <v>2.6681906098559448E-5</v>
      </c>
      <c r="AL48">
        <v>4.4259284505393986E-4</v>
      </c>
      <c r="AT48">
        <f t="shared" ref="AT48:AV48" si="41">AT19</f>
        <v>8</v>
      </c>
      <c r="AU48">
        <f t="shared" si="41"/>
        <v>3</v>
      </c>
      <c r="AV48">
        <f t="shared" si="41"/>
        <v>9.8385062684558449</v>
      </c>
      <c r="AW48">
        <f t="shared" si="36"/>
        <v>52.331282895359358</v>
      </c>
      <c r="AX48">
        <f t="shared" si="37"/>
        <v>-12.902418213953709</v>
      </c>
    </row>
    <row r="49" spans="2:50" x14ac:dyDescent="0.3">
      <c r="B49">
        <v>5</v>
      </c>
      <c r="C49">
        <v>1</v>
      </c>
      <c r="D49">
        <v>0</v>
      </c>
      <c r="E49">
        <f t="shared" si="38"/>
        <v>1.1804080208620997</v>
      </c>
      <c r="F49">
        <f t="shared" si="34"/>
        <v>-0.33179882539289268</v>
      </c>
      <c r="G49">
        <f>($B$6*C48+$B$5*C47+$B$4*C46)+($C$6*D48+$C$5*D47+$C$4*D46)+($D$6*G48+$D$5*G47+$D$4*G46)</f>
        <v>1.1802949377926919</v>
      </c>
      <c r="H49">
        <f t="shared" ref="H49:H63" si="42">($F$6*C48+$F$5*C47+$F$4*C46)+($G$6*D48+$G$5*D47+$G$4*D46)+($H$6*H48+$H$5*H47+$H$4*H46)</f>
        <v>-0.33411529453274391</v>
      </c>
      <c r="I49">
        <f t="shared" si="31"/>
        <v>1.2787780586695337E-8</v>
      </c>
      <c r="J49">
        <f t="shared" si="32"/>
        <v>5.3660292758830941E-6</v>
      </c>
      <c r="T49">
        <f t="shared" si="20"/>
        <v>3</v>
      </c>
      <c r="U49">
        <f t="shared" si="21"/>
        <v>9.8385062684558449</v>
      </c>
      <c r="V49">
        <f t="shared" si="22"/>
        <v>135.3957213676926</v>
      </c>
      <c r="X49">
        <f t="shared" si="23"/>
        <v>9.8385062684558449</v>
      </c>
      <c r="Y49">
        <f t="shared" si="24"/>
        <v>3</v>
      </c>
      <c r="Z49">
        <f t="shared" si="25"/>
        <v>-23.623655508613304</v>
      </c>
      <c r="AF49">
        <v>-5.7296017127120314E-5</v>
      </c>
      <c r="AG49">
        <v>1.5867959577481358E-3</v>
      </c>
      <c r="AH49">
        <v>-9.0535319791321529E-5</v>
      </c>
      <c r="AJ49">
        <v>2.6681906098559659E-5</v>
      </c>
      <c r="AK49">
        <v>3.5418349615642382E-3</v>
      </c>
      <c r="AL49">
        <v>5.8896362585459836E-4</v>
      </c>
      <c r="AT49">
        <f t="shared" ref="AT49:AV49" si="43">AT20</f>
        <v>9</v>
      </c>
      <c r="AU49">
        <f t="shared" si="43"/>
        <v>3</v>
      </c>
      <c r="AV49">
        <f t="shared" si="43"/>
        <v>9.8385062684558449</v>
      </c>
      <c r="AW49">
        <f t="shared" si="36"/>
        <v>65.902170301384388</v>
      </c>
      <c r="AX49">
        <f t="shared" si="37"/>
        <v>-16.056476491709155</v>
      </c>
    </row>
    <row r="50" spans="2:50" x14ac:dyDescent="0.3">
      <c r="B50">
        <v>6</v>
      </c>
      <c r="C50">
        <v>1</v>
      </c>
      <c r="D50">
        <v>0</v>
      </c>
      <c r="E50">
        <f t="shared" si="38"/>
        <v>1.896361676485673</v>
      </c>
      <c r="F50">
        <f t="shared" si="34"/>
        <v>-0.59020401043104986</v>
      </c>
      <c r="G50">
        <f t="shared" si="39"/>
        <v>1.8962470379703151</v>
      </c>
      <c r="H50">
        <f t="shared" si="42"/>
        <v>-0.592018581252447</v>
      </c>
      <c r="I50">
        <f t="shared" si="31"/>
        <v>1.3141989203456076E-8</v>
      </c>
      <c r="J50">
        <f t="shared" si="32"/>
        <v>3.2926672658658633E-6</v>
      </c>
      <c r="T50">
        <f t="shared" si="20"/>
        <v>3</v>
      </c>
      <c r="U50">
        <f t="shared" si="21"/>
        <v>9.8385062684558449</v>
      </c>
      <c r="V50">
        <f t="shared" si="22"/>
        <v>143.73013882893741</v>
      </c>
      <c r="X50">
        <f t="shared" si="23"/>
        <v>9.8385062684558449</v>
      </c>
      <c r="Y50">
        <f t="shared" si="24"/>
        <v>3</v>
      </c>
      <c r="Z50">
        <f t="shared" si="25"/>
        <v>-25.922327532284349</v>
      </c>
      <c r="AF50">
        <v>-1.0593570292664805E-4</v>
      </c>
      <c r="AG50">
        <v>-9.0535319791321516E-5</v>
      </c>
      <c r="AH50">
        <v>1.3055657031576504E-5</v>
      </c>
      <c r="AJ50">
        <v>4.4259284505393981E-4</v>
      </c>
      <c r="AK50">
        <v>5.8896362585459847E-4</v>
      </c>
      <c r="AL50">
        <v>3.1843676295039206E-4</v>
      </c>
      <c r="AT50">
        <f t="shared" ref="AT50:AV50" si="44">AT21</f>
        <v>10</v>
      </c>
      <c r="AU50">
        <f t="shared" si="44"/>
        <v>3</v>
      </c>
      <c r="AV50">
        <f t="shared" si="44"/>
        <v>9.8385062684558449</v>
      </c>
      <c r="AW50">
        <f t="shared" si="36"/>
        <v>77.853983945371809</v>
      </c>
      <c r="AX50">
        <f t="shared" si="37"/>
        <v>-18.70298792478156</v>
      </c>
    </row>
    <row r="51" spans="2:50" x14ac:dyDescent="0.3">
      <c r="B51">
        <v>7</v>
      </c>
      <c r="C51">
        <v>1</v>
      </c>
      <c r="D51">
        <v>0</v>
      </c>
      <c r="E51">
        <f t="shared" si="38"/>
        <v>2.3306095195547103</v>
      </c>
      <c r="F51">
        <f t="shared" si="34"/>
        <v>-0.79145017088847791</v>
      </c>
      <c r="G51">
        <f t="shared" si="39"/>
        <v>2.3305065584859443</v>
      </c>
      <c r="H51">
        <f>($F$6*C50+$F$5*C49+$F$4*C48)+($G$6*D50+$G$5*D49+$G$4*D48)+($H$6*H50+$H$5*H49+$H$4*H48)</f>
        <v>-0.79300702123506295</v>
      </c>
      <c r="I51">
        <f t="shared" si="31"/>
        <v>1.0600981681426664E-8</v>
      </c>
      <c r="J51">
        <f t="shared" si="32"/>
        <v>2.4237830016619495E-6</v>
      </c>
      <c r="T51">
        <f t="shared" si="20"/>
        <v>3</v>
      </c>
      <c r="U51">
        <f t="shared" si="21"/>
        <v>9.8385062684558449</v>
      </c>
      <c r="V51">
        <f t="shared" si="22"/>
        <v>148.78521855002674</v>
      </c>
      <c r="X51">
        <f t="shared" si="23"/>
        <v>9.8385062684558449</v>
      </c>
      <c r="Y51">
        <f t="shared" si="24"/>
        <v>3</v>
      </c>
      <c r="Z51">
        <f t="shared" si="25"/>
        <v>-27.712535104343686</v>
      </c>
      <c r="AT51">
        <f t="shared" ref="AT51:AV51" si="45">AT22</f>
        <v>11</v>
      </c>
      <c r="AU51">
        <f t="shared" si="45"/>
        <v>3</v>
      </c>
      <c r="AV51">
        <f t="shared" si="45"/>
        <v>9.8385062684558449</v>
      </c>
      <c r="AW51">
        <f t="shared" si="36"/>
        <v>88.379887307976162</v>
      </c>
      <c r="AX51">
        <f t="shared" si="37"/>
        <v>-20.923626273406907</v>
      </c>
    </row>
    <row r="52" spans="2:50" x14ac:dyDescent="0.3">
      <c r="B52">
        <v>8</v>
      </c>
      <c r="C52">
        <v>1</v>
      </c>
      <c r="D52">
        <v>0</v>
      </c>
      <c r="E52">
        <f t="shared" si="38"/>
        <v>2.593994150290162</v>
      </c>
      <c r="F52">
        <f t="shared" si="34"/>
        <v>-0.9481808382428365</v>
      </c>
      <c r="G52">
        <f t="shared" si="39"/>
        <v>2.5939059298713825</v>
      </c>
      <c r="H52">
        <f t="shared" si="42"/>
        <v>-0.94952573419346353</v>
      </c>
      <c r="I52">
        <f t="shared" si="31"/>
        <v>7.7828422896372007E-9</v>
      </c>
      <c r="J52">
        <f t="shared" si="32"/>
        <v>1.8087451180129938E-6</v>
      </c>
      <c r="T52">
        <f t="shared" si="20"/>
        <v>3</v>
      </c>
      <c r="U52">
        <f t="shared" si="21"/>
        <v>1.8011042091804852</v>
      </c>
      <c r="V52">
        <f t="shared" si="22"/>
        <v>151.85127938815899</v>
      </c>
      <c r="X52">
        <f t="shared" si="23"/>
        <v>1.8011042091804852</v>
      </c>
      <c r="Y52">
        <f t="shared" si="24"/>
        <v>3</v>
      </c>
      <c r="Z52">
        <f t="shared" si="25"/>
        <v>-29.106750163323859</v>
      </c>
      <c r="AF52" cm="1">
        <f t="array" ref="AF52:AF54">MMULT(MMULT(_xlfn.ANCHORARRAY(AF48),TRANSPOSE(T39:V63)),_xlfn.ANCHORARRAY(AB11))</f>
        <v>0.32400144144068677</v>
      </c>
      <c r="AJ52" cm="1">
        <f t="array" ref="AJ52:AJ54">MMULT(MMULT(_xlfn.ANCHORARRAY(AJ48),TRANSPOSE(X39:Z63)),_xlfn.ANCHORARRAY(AL11))</f>
        <v>-0.48641019501023447</v>
      </c>
      <c r="AT52">
        <f t="shared" ref="AT52:AV52" si="46">AT23</f>
        <v>12</v>
      </c>
      <c r="AU52">
        <f t="shared" si="46"/>
        <v>3</v>
      </c>
      <c r="AV52">
        <f t="shared" si="46"/>
        <v>9.8385062684558449</v>
      </c>
      <c r="AW52">
        <f t="shared" si="36"/>
        <v>97.649998514455916</v>
      </c>
      <c r="AX52">
        <f t="shared" si="37"/>
        <v>-22.786922465428532</v>
      </c>
    </row>
    <row r="53" spans="2:50" x14ac:dyDescent="0.3">
      <c r="B53">
        <v>9</v>
      </c>
      <c r="C53">
        <v>1</v>
      </c>
      <c r="D53">
        <v>0</v>
      </c>
      <c r="E53">
        <f t="shared" si="38"/>
        <v>2.7537450041283034</v>
      </c>
      <c r="F53">
        <f t="shared" si="34"/>
        <v>-1.0702428047097148</v>
      </c>
      <c r="G53">
        <f t="shared" si="39"/>
        <v>2.7536703692640927</v>
      </c>
      <c r="H53">
        <f t="shared" si="42"/>
        <v>-1.0714207247827738</v>
      </c>
      <c r="I53">
        <f>(G53-E53)^2</f>
        <v>5.5703629557444545E-9</v>
      </c>
      <c r="J53">
        <f t="shared" si="32"/>
        <v>1.3874956985154561E-6</v>
      </c>
      <c r="T53">
        <f t="shared" si="20"/>
        <v>3</v>
      </c>
      <c r="U53">
        <f t="shared" si="21"/>
        <v>6.1905286455192297</v>
      </c>
      <c r="V53">
        <f t="shared" si="22"/>
        <v>153.7109392910304</v>
      </c>
      <c r="X53">
        <f t="shared" si="23"/>
        <v>6.1905286455192297</v>
      </c>
      <c r="Y53">
        <f t="shared" si="24"/>
        <v>3</v>
      </c>
      <c r="Z53">
        <f t="shared" si="25"/>
        <v>-24.858964818071598</v>
      </c>
      <c r="AF53">
        <v>1.9151548590548482</v>
      </c>
      <c r="AJ53">
        <v>-0.148249476099931</v>
      </c>
      <c r="AT53">
        <f t="shared" ref="AT53:AV53" si="47">AT24</f>
        <v>13</v>
      </c>
      <c r="AU53">
        <f t="shared" si="47"/>
        <v>3</v>
      </c>
      <c r="AV53">
        <f t="shared" si="47"/>
        <v>1.8011042091804852</v>
      </c>
      <c r="AW53">
        <f t="shared" si="36"/>
        <v>105.81413975916894</v>
      </c>
      <c r="AX53">
        <f t="shared" si="37"/>
        <v>-24.350379523328797</v>
      </c>
    </row>
    <row r="54" spans="2:50" x14ac:dyDescent="0.3">
      <c r="B54">
        <v>10</v>
      </c>
      <c r="C54">
        <v>1</v>
      </c>
      <c r="D54">
        <v>0</v>
      </c>
      <c r="E54">
        <f t="shared" si="38"/>
        <v>2.8506387948964083</v>
      </c>
      <c r="F54">
        <f t="shared" si="34"/>
        <v>-1.1653047597773551</v>
      </c>
      <c r="G54">
        <f t="shared" si="39"/>
        <v>2.8505752174427776</v>
      </c>
      <c r="H54">
        <f t="shared" si="42"/>
        <v>-1.1663507467172396</v>
      </c>
      <c r="I54">
        <f t="shared" ref="I54:I63" si="48">(G54-E54)^2</f>
        <v>4.0420926101529245E-9</v>
      </c>
      <c r="J54">
        <f t="shared" si="32"/>
        <v>1.0940886784088294E-6</v>
      </c>
      <c r="T54">
        <f t="shared" si="20"/>
        <v>3</v>
      </c>
      <c r="U54">
        <f t="shared" si="21"/>
        <v>9.5028730390516749</v>
      </c>
      <c r="V54">
        <f t="shared" si="22"/>
        <v>107.40181075044917</v>
      </c>
      <c r="X54">
        <f t="shared" si="23"/>
        <v>9.5028730390516749</v>
      </c>
      <c r="Y54">
        <f t="shared" si="24"/>
        <v>3</v>
      </c>
      <c r="Z54">
        <f t="shared" si="25"/>
        <v>-24.463598009126009</v>
      </c>
      <c r="AF54">
        <v>0.88069507073510944</v>
      </c>
      <c r="AJ54">
        <v>0.8390813358578042</v>
      </c>
      <c r="AT54">
        <f t="shared" ref="AT54:AV54" si="49">AT25</f>
        <v>14</v>
      </c>
      <c r="AU54">
        <f t="shared" si="49"/>
        <v>3</v>
      </c>
      <c r="AV54">
        <f t="shared" si="49"/>
        <v>6.1905286455192297</v>
      </c>
      <c r="AW54">
        <f t="shared" si="36"/>
        <v>97.611389102174243</v>
      </c>
      <c r="AX54">
        <f t="shared" si="37"/>
        <v>-21.752772857000274</v>
      </c>
    </row>
    <row r="55" spans="2:50" x14ac:dyDescent="0.3">
      <c r="B55">
        <v>11</v>
      </c>
      <c r="C55">
        <v>1</v>
      </c>
      <c r="D55">
        <v>1</v>
      </c>
      <c r="E55">
        <f t="shared" si="38"/>
        <v>2.9094078497330447</v>
      </c>
      <c r="F55">
        <f t="shared" si="34"/>
        <v>-1.2393390848243322</v>
      </c>
      <c r="G55">
        <f t="shared" si="39"/>
        <v>2.909352687799942</v>
      </c>
      <c r="H55">
        <f t="shared" si="42"/>
        <v>-1.2402808728455601</v>
      </c>
      <c r="I55">
        <f t="shared" si="48"/>
        <v>3.0428388636180306E-9</v>
      </c>
      <c r="J55">
        <f t="shared" si="32"/>
        <v>8.8696467692837714E-7</v>
      </c>
      <c r="T55">
        <f t="shared" si="20"/>
        <v>5</v>
      </c>
      <c r="U55">
        <f t="shared" si="21"/>
        <v>1.781191494567822</v>
      </c>
      <c r="V55">
        <f t="shared" si="22"/>
        <v>105.22046352412508</v>
      </c>
      <c r="X55">
        <f t="shared" si="23"/>
        <v>1.781191494567822</v>
      </c>
      <c r="Y55">
        <f t="shared" si="24"/>
        <v>5</v>
      </c>
      <c r="Z55">
        <f t="shared" si="25"/>
        <v>-26.353749986860343</v>
      </c>
      <c r="AT55">
        <f>AT26</f>
        <v>15</v>
      </c>
      <c r="AU55">
        <f t="shared" ref="AU55:AV55" si="50">AU26</f>
        <v>3</v>
      </c>
      <c r="AV55">
        <f t="shared" si="50"/>
        <v>9.5028730390516749</v>
      </c>
      <c r="AW55">
        <f t="shared" si="36"/>
        <v>98.793694569798078</v>
      </c>
      <c r="AX55">
        <f t="shared" si="37"/>
        <v>-21.70823038144642</v>
      </c>
    </row>
    <row r="56" spans="2:50" x14ac:dyDescent="0.3">
      <c r="B56">
        <v>12</v>
      </c>
      <c r="C56">
        <v>1</v>
      </c>
      <c r="D56">
        <v>1</v>
      </c>
      <c r="E56">
        <f t="shared" si="38"/>
        <v>2.9450530833337973</v>
      </c>
      <c r="F56">
        <f t="shared" si="34"/>
        <v>-1.960594725930866</v>
      </c>
      <c r="G56">
        <f t="shared" si="39"/>
        <v>2.9449195474350685</v>
      </c>
      <c r="H56">
        <f t="shared" si="42"/>
        <v>-1.9614395943147969</v>
      </c>
      <c r="I56">
        <f t="shared" si="48"/>
        <v>1.7831836249331577E-8</v>
      </c>
      <c r="J56">
        <f t="shared" si="32"/>
        <v>7.1380258616589268E-7</v>
      </c>
      <c r="T56">
        <f t="shared" si="20"/>
        <v>5</v>
      </c>
      <c r="U56">
        <f t="shared" si="21"/>
        <v>3.34069448085656</v>
      </c>
      <c r="V56">
        <f t="shared" si="22"/>
        <v>125.80781504352113</v>
      </c>
      <c r="X56">
        <f t="shared" si="23"/>
        <v>3.34069448085656</v>
      </c>
      <c r="Y56">
        <f t="shared" si="24"/>
        <v>5</v>
      </c>
      <c r="Z56">
        <f t="shared" si="25"/>
        <v>-23.365309744994153</v>
      </c>
      <c r="AT56">
        <f t="shared" ref="AT56:AV56" si="51">AT27</f>
        <v>16</v>
      </c>
      <c r="AU56">
        <f t="shared" si="51"/>
        <v>5</v>
      </c>
      <c r="AV56">
        <f t="shared" si="51"/>
        <v>1.781191494567822</v>
      </c>
      <c r="AW56">
        <f t="shared" si="36"/>
        <v>106.1785976273743</v>
      </c>
      <c r="AX56">
        <f t="shared" si="37"/>
        <v>-23.28201370395545</v>
      </c>
    </row>
    <row r="57" spans="2:50" x14ac:dyDescent="0.3">
      <c r="B57">
        <v>13</v>
      </c>
      <c r="C57">
        <v>1</v>
      </c>
      <c r="D57">
        <v>1</v>
      </c>
      <c r="E57">
        <f t="shared" si="38"/>
        <v>8.8687131146957725</v>
      </c>
      <c r="F57">
        <f t="shared" si="34"/>
        <v>-2.5223091840193028</v>
      </c>
      <c r="G57">
        <f t="shared" si="39"/>
        <v>8.8689480283860576</v>
      </c>
      <c r="H57">
        <f t="shared" si="42"/>
        <v>-2.5229744896933752</v>
      </c>
      <c r="I57">
        <f t="shared" si="48"/>
        <v>5.5184441883342554E-8</v>
      </c>
      <c r="J57">
        <f t="shared" si="32"/>
        <v>4.4263163995294907E-7</v>
      </c>
      <c r="T57">
        <f t="shared" si="20"/>
        <v>5</v>
      </c>
      <c r="U57">
        <f t="shared" si="21"/>
        <v>2.5327396599926679</v>
      </c>
      <c r="V57">
        <f t="shared" si="22"/>
        <v>92.721000794058369</v>
      </c>
      <c r="X57">
        <f t="shared" si="23"/>
        <v>2.5327396599926679</v>
      </c>
      <c r="Y57">
        <f t="shared" si="24"/>
        <v>5</v>
      </c>
      <c r="Z57">
        <f t="shared" si="25"/>
        <v>-22.072792662561287</v>
      </c>
      <c r="AT57">
        <f t="shared" ref="AT57:AV57" si="52">AT28</f>
        <v>17</v>
      </c>
      <c r="AU57">
        <f t="shared" si="52"/>
        <v>5</v>
      </c>
      <c r="AV57">
        <f t="shared" si="52"/>
        <v>3.34069448085656</v>
      </c>
      <c r="AW57">
        <f t="shared" si="36"/>
        <v>98.542232300927296</v>
      </c>
      <c r="AX57">
        <f t="shared" si="37"/>
        <v>-21.143140242897601</v>
      </c>
    </row>
    <row r="58" spans="2:50" x14ac:dyDescent="0.3">
      <c r="B58">
        <v>14</v>
      </c>
      <c r="C58">
        <v>1</v>
      </c>
      <c r="D58">
        <v>1</v>
      </c>
      <c r="E58">
        <f t="shared" si="38"/>
        <v>12.461594541431108</v>
      </c>
      <c r="F58">
        <f t="shared" si="34"/>
        <v>-2.9597728438411073</v>
      </c>
      <c r="G58">
        <f t="shared" si="39"/>
        <v>12.461578039149504</v>
      </c>
      <c r="H58">
        <f t="shared" si="42"/>
        <v>-2.9602952678383971</v>
      </c>
      <c r="I58">
        <f t="shared" si="48"/>
        <v>2.723252981191216E-10</v>
      </c>
      <c r="J58">
        <f t="shared" si="32"/>
        <v>2.7292683294431134E-7</v>
      </c>
      <c r="T58">
        <f t="shared" si="20"/>
        <v>5</v>
      </c>
      <c r="U58">
        <f t="shared" si="21"/>
        <v>6.3763942688414321</v>
      </c>
      <c r="V58">
        <f t="shared" si="22"/>
        <v>81.857082687410482</v>
      </c>
      <c r="X58">
        <f t="shared" si="23"/>
        <v>6.3763942688414321</v>
      </c>
      <c r="Y58">
        <f t="shared" si="24"/>
        <v>5</v>
      </c>
      <c r="Z58">
        <f t="shared" si="25"/>
        <v>-20.530022425563075</v>
      </c>
      <c r="AT58">
        <f t="shared" ref="AT58:AV58" si="53">AT29</f>
        <v>18</v>
      </c>
      <c r="AU58">
        <f t="shared" si="53"/>
        <v>5</v>
      </c>
      <c r="AV58">
        <f t="shared" si="53"/>
        <v>2.5327396599926679</v>
      </c>
      <c r="AW58">
        <f t="shared" si="36"/>
        <v>94.803612721494332</v>
      </c>
      <c r="AX58">
        <f t="shared" si="37"/>
        <v>-20.107009593642125</v>
      </c>
    </row>
    <row r="59" spans="2:50" x14ac:dyDescent="0.3">
      <c r="B59">
        <v>15</v>
      </c>
      <c r="C59">
        <v>1</v>
      </c>
      <c r="D59">
        <v>1</v>
      </c>
      <c r="E59">
        <f t="shared" si="38"/>
        <v>14.64078728345816</v>
      </c>
      <c r="F59">
        <f t="shared" si="34"/>
        <v>-3.3004698846756115</v>
      </c>
      <c r="G59">
        <f t="shared" si="39"/>
        <v>14.640681700539599</v>
      </c>
      <c r="H59">
        <f t="shared" si="42"/>
        <v>-3.3008740173870343</v>
      </c>
      <c r="I59">
        <f t="shared" si="48"/>
        <v>1.1147752691858335E-8</v>
      </c>
      <c r="J59">
        <f t="shared" si="32"/>
        <v>1.6332324844195306E-7</v>
      </c>
      <c r="T59">
        <f t="shared" si="20"/>
        <v>5</v>
      </c>
      <c r="U59">
        <f t="shared" si="21"/>
        <v>6.3763942688414321</v>
      </c>
      <c r="V59">
        <f t="shared" si="22"/>
        <v>70.499201515911622</v>
      </c>
      <c r="X59">
        <f t="shared" si="23"/>
        <v>6.3763942688414321</v>
      </c>
      <c r="Y59">
        <f t="shared" si="24"/>
        <v>5</v>
      </c>
      <c r="Z59">
        <f t="shared" si="25"/>
        <v>-21.879151925753611</v>
      </c>
      <c r="AD59" cm="1">
        <f t="array" ref="AD59:AI64">MMULT(TRANSPOSE(T11:Y35),T11:Y35)</f>
        <v>281</v>
      </c>
      <c r="AE59">
        <v>287</v>
      </c>
      <c r="AF59">
        <v>427.25961541158046</v>
      </c>
      <c r="AG59">
        <v>426.06368496128437</v>
      </c>
      <c r="AH59">
        <v>7169.3580639477977</v>
      </c>
      <c r="AI59">
        <v>7300.0392929921527</v>
      </c>
      <c r="AL59" cm="1">
        <f t="array" ref="AL59:AQ64">MMULT(TRANSPOSE(AD11:AI35),AD11:AI35)</f>
        <v>1131.2805343338318</v>
      </c>
      <c r="AM59">
        <v>1025.8894440861798</v>
      </c>
      <c r="AN59">
        <v>427.25961541158046</v>
      </c>
      <c r="AO59">
        <v>475.78088029505142</v>
      </c>
      <c r="AP59">
        <v>-2666.8901017844005</v>
      </c>
      <c r="AQ59">
        <v>-2969.4554431300703</v>
      </c>
      <c r="AT59">
        <f t="shared" ref="AT59:AV59" si="54">AT30</f>
        <v>19</v>
      </c>
      <c r="AU59">
        <f t="shared" si="54"/>
        <v>5</v>
      </c>
      <c r="AV59">
        <f t="shared" si="54"/>
        <v>6.3763942688414321</v>
      </c>
      <c r="AW59">
        <f t="shared" si="36"/>
        <v>89.963670285459699</v>
      </c>
      <c r="AX59">
        <f t="shared" si="37"/>
        <v>-18.844614242365761</v>
      </c>
    </row>
    <row r="60" spans="2:50" x14ac:dyDescent="0.3">
      <c r="B60">
        <v>16</v>
      </c>
      <c r="C60">
        <v>1</v>
      </c>
      <c r="D60">
        <v>1</v>
      </c>
      <c r="E60">
        <f t="shared" si="38"/>
        <v>15.96253449492081</v>
      </c>
      <c r="F60">
        <f t="shared" si="34"/>
        <v>-3.5658050068676337</v>
      </c>
      <c r="G60">
        <f t="shared" si="39"/>
        <v>15.962413309115366</v>
      </c>
      <c r="H60">
        <f t="shared" si="42"/>
        <v>-3.566111828123911</v>
      </c>
      <c r="I60">
        <f t="shared" si="48"/>
        <v>1.4685999441100697E-8</v>
      </c>
      <c r="J60">
        <f t="shared" si="32"/>
        <v>9.4139283303608439E-8</v>
      </c>
      <c r="T60">
        <f t="shared" si="20"/>
        <v>5</v>
      </c>
      <c r="U60">
        <f t="shared" si="21"/>
        <v>6.3763942688414321</v>
      </c>
      <c r="V60">
        <f t="shared" si="22"/>
        <v>86.295702004568014</v>
      </c>
      <c r="X60">
        <f t="shared" si="23"/>
        <v>6.3763942688414321</v>
      </c>
      <c r="Y60">
        <f t="shared" si="24"/>
        <v>5</v>
      </c>
      <c r="Z60">
        <f t="shared" si="25"/>
        <v>-22.929855036966728</v>
      </c>
      <c r="AD60">
        <v>287</v>
      </c>
      <c r="AE60">
        <v>306</v>
      </c>
      <c r="AF60">
        <v>475.78088029505142</v>
      </c>
      <c r="AG60">
        <v>459.14158675578761</v>
      </c>
      <c r="AH60">
        <v>7401.867805761628</v>
      </c>
      <c r="AI60">
        <v>7695.4213005635665</v>
      </c>
      <c r="AL60">
        <v>1025.8894440861798</v>
      </c>
      <c r="AM60">
        <v>1171.9389382055456</v>
      </c>
      <c r="AN60">
        <v>426.06368496128437</v>
      </c>
      <c r="AO60">
        <v>459.14158675578761</v>
      </c>
      <c r="AP60">
        <v>-2572.4173633863147</v>
      </c>
      <c r="AQ60">
        <v>-2825.5459122659859</v>
      </c>
      <c r="AT60">
        <f t="shared" ref="AT60:AV60" si="55">AT31</f>
        <v>20</v>
      </c>
      <c r="AU60">
        <f t="shared" si="55"/>
        <v>5</v>
      </c>
      <c r="AV60">
        <f t="shared" si="55"/>
        <v>6.3763942688414321</v>
      </c>
      <c r="AW60">
        <f t="shared" si="36"/>
        <v>93.062350640067578</v>
      </c>
      <c r="AX60">
        <f t="shared" si="37"/>
        <v>-19.654954652478224</v>
      </c>
    </row>
    <row r="61" spans="2:50" x14ac:dyDescent="0.3">
      <c r="B61">
        <v>17</v>
      </c>
      <c r="C61">
        <v>1</v>
      </c>
      <c r="D61">
        <v>1</v>
      </c>
      <c r="E61">
        <f t="shared" si="38"/>
        <v>16.764214703062585</v>
      </c>
      <c r="F61">
        <f t="shared" si="34"/>
        <v>-3.7724482078071278</v>
      </c>
      <c r="G61">
        <f t="shared" si="39"/>
        <v>16.764107361614563</v>
      </c>
      <c r="H61">
        <f t="shared" si="42"/>
        <v>-3.7726751874531796</v>
      </c>
      <c r="I61">
        <f t="shared" si="48"/>
        <v>1.1522186463398299E-8</v>
      </c>
      <c r="J61">
        <f t="shared" si="32"/>
        <v>5.151975972184339E-8</v>
      </c>
      <c r="T61">
        <f t="shared" si="20"/>
        <v>5</v>
      </c>
      <c r="U61">
        <f t="shared" si="21"/>
        <v>6.3763942688414321</v>
      </c>
      <c r="V61">
        <f t="shared" si="22"/>
        <v>95.876763867103705</v>
      </c>
      <c r="X61">
        <f t="shared" si="23"/>
        <v>6.3763942688414321</v>
      </c>
      <c r="Y61">
        <f t="shared" si="24"/>
        <v>5</v>
      </c>
      <c r="Z61">
        <f t="shared" si="25"/>
        <v>-23.748143442755065</v>
      </c>
      <c r="AD61">
        <v>427.25961541158046</v>
      </c>
      <c r="AE61">
        <v>475.78088029505142</v>
      </c>
      <c r="AF61">
        <v>1131.2805343338318</v>
      </c>
      <c r="AG61">
        <v>1025.8894440861798</v>
      </c>
      <c r="AH61">
        <v>12915.201326422039</v>
      </c>
      <c r="AI61">
        <v>14152.679369215852</v>
      </c>
      <c r="AL61">
        <v>427.25961541158046</v>
      </c>
      <c r="AM61">
        <v>426.06368496128437</v>
      </c>
      <c r="AN61">
        <v>281</v>
      </c>
      <c r="AO61">
        <v>287</v>
      </c>
      <c r="AP61">
        <v>-1542.0965919590471</v>
      </c>
      <c r="AQ61">
        <v>-1577.7499803876162</v>
      </c>
      <c r="AT61">
        <f t="shared" ref="AT61:AV61" si="56">AT32</f>
        <v>21</v>
      </c>
      <c r="AU61">
        <f t="shared" si="56"/>
        <v>5</v>
      </c>
      <c r="AV61">
        <f t="shared" si="56"/>
        <v>6.3763942688414321</v>
      </c>
      <c r="AW61">
        <f t="shared" si="36"/>
        <v>95.791343154154461</v>
      </c>
      <c r="AX61">
        <f t="shared" si="37"/>
        <v>-20.334896166294946</v>
      </c>
    </row>
    <row r="62" spans="2:50" x14ac:dyDescent="0.3">
      <c r="B62">
        <v>18</v>
      </c>
      <c r="C62">
        <v>1</v>
      </c>
      <c r="D62">
        <v>1</v>
      </c>
      <c r="E62">
        <f t="shared" si="38"/>
        <v>17.250458328585378</v>
      </c>
      <c r="F62">
        <f t="shared" si="34"/>
        <v>-3.9333820945151872</v>
      </c>
      <c r="G62">
        <f t="shared" si="39"/>
        <v>17.250373521584166</v>
      </c>
      <c r="H62">
        <f t="shared" si="42"/>
        <v>-3.9335437361707317</v>
      </c>
      <c r="I62">
        <f t="shared" si="48"/>
        <v>7.1922274545430791E-9</v>
      </c>
      <c r="J62">
        <f t="shared" si="32"/>
        <v>2.6128024807183996E-8</v>
      </c>
      <c r="T62">
        <f t="shared" si="20"/>
        <v>5</v>
      </c>
      <c r="U62">
        <f t="shared" si="21"/>
        <v>6.3763942688414321</v>
      </c>
      <c r="V62">
        <f t="shared" si="22"/>
        <v>101.68797163933503</v>
      </c>
      <c r="X62">
        <f t="shared" si="23"/>
        <v>6.3763942688414321</v>
      </c>
      <c r="Y62">
        <f t="shared" si="24"/>
        <v>5</v>
      </c>
      <c r="Z62">
        <f t="shared" si="25"/>
        <v>-24.385427093961276</v>
      </c>
      <c r="AD62">
        <v>426.06368496128437</v>
      </c>
      <c r="AE62">
        <v>459.14158675578761</v>
      </c>
      <c r="AF62">
        <v>1025.8894440861798</v>
      </c>
      <c r="AG62">
        <v>1171.9389382055456</v>
      </c>
      <c r="AH62">
        <v>12484.547507420308</v>
      </c>
      <c r="AI62">
        <v>13586.078647823031</v>
      </c>
      <c r="AL62">
        <v>475.78088029505142</v>
      </c>
      <c r="AM62">
        <v>459.14158675578761</v>
      </c>
      <c r="AN62">
        <v>287</v>
      </c>
      <c r="AO62">
        <v>306</v>
      </c>
      <c r="AP62">
        <v>-1612.1606480284936</v>
      </c>
      <c r="AQ62">
        <v>-1666.5053124618435</v>
      </c>
      <c r="AT62">
        <f>AT33</f>
        <v>22</v>
      </c>
      <c r="AU62">
        <f t="shared" ref="AU62:AV62" si="57">AU33</f>
        <v>5</v>
      </c>
      <c r="AV62">
        <f t="shared" si="57"/>
        <v>6.3763942688414321</v>
      </c>
      <c r="AW62">
        <f t="shared" si="36"/>
        <v>98.194753409383793</v>
      </c>
      <c r="AX62">
        <f t="shared" si="37"/>
        <v>-20.905422400013464</v>
      </c>
    </row>
    <row r="63" spans="2:50" x14ac:dyDescent="0.3">
      <c r="B63">
        <v>19</v>
      </c>
      <c r="C63">
        <v>1</v>
      </c>
      <c r="D63">
        <v>1</v>
      </c>
      <c r="E63">
        <f t="shared" si="38"/>
        <v>17.545379995554779</v>
      </c>
      <c r="F63">
        <f t="shared" si="34"/>
        <v>-4.0587175315061481</v>
      </c>
      <c r="G63">
        <f t="shared" si="39"/>
        <v>17.54531743141418</v>
      </c>
      <c r="H63">
        <f t="shared" si="42"/>
        <v>-4.0588258289795265</v>
      </c>
      <c r="I63">
        <f t="shared" si="48"/>
        <v>3.914271688880001E-9</v>
      </c>
      <c r="J63">
        <f t="shared" si="32"/>
        <v>1.1728342740139079E-8</v>
      </c>
      <c r="T63">
        <f>U35</f>
        <v>5</v>
      </c>
      <c r="U63">
        <f t="shared" si="21"/>
        <v>6.3763942688414321</v>
      </c>
      <c r="V63">
        <f t="shared" si="22"/>
        <v>105.21264732315369</v>
      </c>
      <c r="X63">
        <f t="shared" si="23"/>
        <v>6.3763942688414321</v>
      </c>
      <c r="Y63">
        <f t="shared" si="24"/>
        <v>5</v>
      </c>
      <c r="Z63">
        <f t="shared" si="25"/>
        <v>-24.881744100559274</v>
      </c>
      <c r="AD63">
        <v>7169.3580639477977</v>
      </c>
      <c r="AE63">
        <v>7401.867805761628</v>
      </c>
      <c r="AF63">
        <v>12915.201326422039</v>
      </c>
      <c r="AG63">
        <v>12484.547507420308</v>
      </c>
      <c r="AH63">
        <v>221930.89913991943</v>
      </c>
      <c r="AI63">
        <v>222640.79879364828</v>
      </c>
      <c r="AL63">
        <v>-2666.8901017844005</v>
      </c>
      <c r="AM63">
        <v>-2572.4173633863147</v>
      </c>
      <c r="AN63">
        <v>-1542.0965919590471</v>
      </c>
      <c r="AO63">
        <v>-1612.1606480284936</v>
      </c>
      <c r="AP63">
        <v>9280.7238041106484</v>
      </c>
      <c r="AQ63">
        <v>9509.2428104131905</v>
      </c>
      <c r="AT63">
        <f t="shared" ref="AT63:AV63" si="58">AT34</f>
        <v>23</v>
      </c>
      <c r="AU63">
        <f t="shared" si="58"/>
        <v>5</v>
      </c>
      <c r="AV63">
        <f t="shared" si="58"/>
        <v>6.3763942688414321</v>
      </c>
      <c r="AW63">
        <f t="shared" si="36"/>
        <v>100.31142497411847</v>
      </c>
      <c r="AX63">
        <f t="shared" si="37"/>
        <v>-21.384140314343917</v>
      </c>
    </row>
    <row r="64" spans="2:50" x14ac:dyDescent="0.3">
      <c r="AD64">
        <v>7300.0392929921527</v>
      </c>
      <c r="AE64">
        <v>7695.4213005635665</v>
      </c>
      <c r="AF64">
        <v>14152.679369215852</v>
      </c>
      <c r="AG64">
        <v>13586.078647823031</v>
      </c>
      <c r="AH64">
        <v>222640.79879364828</v>
      </c>
      <c r="AI64">
        <v>233000.60029666574</v>
      </c>
      <c r="AL64">
        <v>-2969.4554431300703</v>
      </c>
      <c r="AM64">
        <v>-2825.5459122659859</v>
      </c>
      <c r="AN64">
        <v>-1577.7499803876162</v>
      </c>
      <c r="AO64">
        <v>-1666.5053124618435</v>
      </c>
      <c r="AP64">
        <v>9509.2428104131905</v>
      </c>
      <c r="AQ64">
        <v>9899.8249935963649</v>
      </c>
      <c r="AT64">
        <f t="shared" ref="AT64:AV65" si="59">AT35</f>
        <v>24</v>
      </c>
      <c r="AU64">
        <f t="shared" si="59"/>
        <v>5</v>
      </c>
      <c r="AV64">
        <f t="shared" si="59"/>
        <v>6.3763942688414321</v>
      </c>
      <c r="AW64">
        <f t="shared" si="36"/>
        <v>102.17556718754547</v>
      </c>
      <c r="AX64">
        <f t="shared" si="37"/>
        <v>-21.785823581399377</v>
      </c>
    </row>
    <row r="65" spans="8:50" x14ac:dyDescent="0.3">
      <c r="AT65">
        <f>AT36</f>
        <v>25</v>
      </c>
      <c r="AU65">
        <f t="shared" si="59"/>
        <v>5</v>
      </c>
      <c r="AV65">
        <f t="shared" si="59"/>
        <v>6.3763942688414321</v>
      </c>
      <c r="AW65">
        <f t="shared" si="36"/>
        <v>103.81730804605986</v>
      </c>
      <c r="AX65">
        <f t="shared" si="37"/>
        <v>-22.122868513712</v>
      </c>
    </row>
    <row r="66" spans="8:50" x14ac:dyDescent="0.3">
      <c r="H66" t="s">
        <v>17</v>
      </c>
      <c r="I66">
        <f>SUM(I44:I63)</f>
        <v>1.7871992936130437E-7</v>
      </c>
      <c r="J66">
        <f>SUM(J44:J63)</f>
        <v>1.8035973433354451E-5</v>
      </c>
      <c r="AC66">
        <v>1</v>
      </c>
      <c r="AD66" cm="1">
        <f t="array" ref="AD66:AI71">_xlfn.MUNIT(COUNT(AD59:AI59))*$AC$66</f>
        <v>1</v>
      </c>
      <c r="AE66">
        <v>0</v>
      </c>
      <c r="AF66">
        <v>0</v>
      </c>
      <c r="AG66">
        <v>0</v>
      </c>
      <c r="AH66">
        <v>0</v>
      </c>
      <c r="AI66">
        <v>0</v>
      </c>
      <c r="AK66">
        <v>1</v>
      </c>
      <c r="AL66" cm="1">
        <f t="array" ref="AL66:AQ71">_xlfn.MUNIT(COUNT(AL59:AQ59))*$AK$66</f>
        <v>1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8:50" x14ac:dyDescent="0.3"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</row>
    <row r="68" spans="8:50" x14ac:dyDescent="0.3">
      <c r="H68" t="s">
        <v>18</v>
      </c>
      <c r="J68">
        <f>SUM(I66:J66)</f>
        <v>1.8214693362715755E-5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</row>
    <row r="69" spans="8:50" x14ac:dyDescent="0.3"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</row>
    <row r="70" spans="8:50" x14ac:dyDescent="0.3"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</row>
    <row r="71" spans="8:50" x14ac:dyDescent="0.3"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</row>
    <row r="73" spans="8:50" x14ac:dyDescent="0.3">
      <c r="AD73" cm="1">
        <f t="array" ref="AD73:AI78">MINVERSE(_xlfn.ANCHORARRAY(AD59)+_xlfn.ANCHORARRAY(AD66))</f>
        <v>0.10226583041105775</v>
      </c>
      <c r="AE73">
        <v>-8.8195208021933244E-2</v>
      </c>
      <c r="AF73">
        <v>8.7818490156980206E-3</v>
      </c>
      <c r="AG73">
        <v>-4.0583285299157822E-3</v>
      </c>
      <c r="AH73">
        <v>-1.3295921292636786E-3</v>
      </c>
      <c r="AI73">
        <v>6.8251133388381438E-4</v>
      </c>
      <c r="AL73" cm="1">
        <f t="array" ref="AL73:AQ78">MINVERSE(_xlfn.ANCHORARRAY(AL59)+_xlfn.ANCHORARRAY(AL66))</f>
        <v>0.20781612903104571</v>
      </c>
      <c r="AM73">
        <v>-2.5699951723820711E-3</v>
      </c>
      <c r="AN73">
        <v>0.1008384644953384</v>
      </c>
      <c r="AO73">
        <v>1.3710064439368698E-3</v>
      </c>
      <c r="AP73">
        <v>-0.23822825753243884</v>
      </c>
      <c r="AQ73">
        <v>0.30670091817714945</v>
      </c>
    </row>
    <row r="74" spans="8:50" x14ac:dyDescent="0.3">
      <c r="AD74">
        <v>-8.8195208021933133E-2</v>
      </c>
      <c r="AE74">
        <v>9.5323989580401933E-2</v>
      </c>
      <c r="AF74">
        <v>-8.2516784366559737E-3</v>
      </c>
      <c r="AG74">
        <v>3.1103259324388693E-3</v>
      </c>
      <c r="AH74">
        <v>9.7876656671692908E-4</v>
      </c>
      <c r="AI74">
        <v>-1.0004949295376949E-3</v>
      </c>
      <c r="AL74">
        <v>-2.5699951723819016E-3</v>
      </c>
      <c r="AM74">
        <v>4.4120704531657234E-3</v>
      </c>
      <c r="AN74">
        <v>-3.359584601042423E-3</v>
      </c>
      <c r="AO74">
        <v>2.5127174208420954E-3</v>
      </c>
      <c r="AP74">
        <v>-1.4053361964160552E-3</v>
      </c>
      <c r="AQ74">
        <v>1.7256720531169971E-3</v>
      </c>
    </row>
    <row r="75" spans="8:50" x14ac:dyDescent="0.3">
      <c r="AD75">
        <v>8.7818490156980344E-3</v>
      </c>
      <c r="AE75">
        <v>-8.251678436655998E-3</v>
      </c>
      <c r="AF75">
        <v>7.3196066335956718E-3</v>
      </c>
      <c r="AG75">
        <v>-3.4361374621716219E-3</v>
      </c>
      <c r="AH75">
        <v>1.5673753999512658E-4</v>
      </c>
      <c r="AI75">
        <v>-3.9661652043999093E-4</v>
      </c>
      <c r="AL75">
        <v>0.10083846449533936</v>
      </c>
      <c r="AM75">
        <v>-3.3595846010423774E-3</v>
      </c>
      <c r="AN75">
        <v>0.13979094753387059</v>
      </c>
      <c r="AO75">
        <v>-6.8483729132640836E-2</v>
      </c>
      <c r="AP75">
        <v>-0.10261099995721225</v>
      </c>
      <c r="AQ75">
        <v>0.13858665793499642</v>
      </c>
    </row>
    <row r="76" spans="8:50" x14ac:dyDescent="0.3">
      <c r="AD76">
        <v>-4.058328529915757E-3</v>
      </c>
      <c r="AE76">
        <v>3.1103259324388515E-3</v>
      </c>
      <c r="AF76">
        <v>-3.4361374621716193E-3</v>
      </c>
      <c r="AG76">
        <v>4.4654807751932837E-3</v>
      </c>
      <c r="AH76">
        <v>8.3469637539112211E-5</v>
      </c>
      <c r="AI76">
        <v>-1.0699874458528248E-4</v>
      </c>
      <c r="AL76">
        <v>1.3710064439361224E-3</v>
      </c>
      <c r="AM76">
        <v>2.5127174208420581E-3</v>
      </c>
      <c r="AN76">
        <v>-6.8483729132641336E-2</v>
      </c>
      <c r="AO76">
        <v>9.1902597711933043E-2</v>
      </c>
      <c r="AP76">
        <v>-9.2735138374482207E-3</v>
      </c>
      <c r="AQ76">
        <v>1.4590804390966078E-2</v>
      </c>
    </row>
    <row r="77" spans="8:50" x14ac:dyDescent="0.3">
      <c r="AD77">
        <v>-1.3295921292636678E-3</v>
      </c>
      <c r="AE77">
        <v>9.7876656671692084E-4</v>
      </c>
      <c r="AF77">
        <v>1.5673753999512818E-4</v>
      </c>
      <c r="AG77">
        <v>8.3469637539112523E-5</v>
      </c>
      <c r="AH77">
        <v>1.4656200140163801E-4</v>
      </c>
      <c r="AI77">
        <v>-1.4510161530782259E-4</v>
      </c>
      <c r="AL77">
        <v>-0.23822825753243879</v>
      </c>
      <c r="AM77">
        <v>-1.4053361964158841E-3</v>
      </c>
      <c r="AN77">
        <v>-0.10261099995721136</v>
      </c>
      <c r="AO77">
        <v>-9.2735138374488036E-3</v>
      </c>
      <c r="AP77">
        <v>0.28570001701480557</v>
      </c>
      <c r="AQ77">
        <v>-0.36416346479131906</v>
      </c>
    </row>
    <row r="78" spans="8:50" x14ac:dyDescent="0.3">
      <c r="AD78">
        <v>6.8251133388380104E-4</v>
      </c>
      <c r="AE78">
        <v>-1.0004949295376838E-3</v>
      </c>
      <c r="AF78">
        <v>-3.9661652043999299E-4</v>
      </c>
      <c r="AG78">
        <v>-1.0699874458528244E-4</v>
      </c>
      <c r="AH78">
        <v>-1.4510161530782243E-4</v>
      </c>
      <c r="AI78">
        <v>1.8493130401508234E-4</v>
      </c>
      <c r="AL78">
        <v>0.30670091817714956</v>
      </c>
      <c r="AM78">
        <v>1.7256720531167149E-3</v>
      </c>
      <c r="AN78">
        <v>0.13858665793499414</v>
      </c>
      <c r="AO78">
        <v>1.4590804390967549E-2</v>
      </c>
      <c r="AP78">
        <v>-0.36416346479131917</v>
      </c>
      <c r="AQ78">
        <v>0.46688030934301172</v>
      </c>
    </row>
    <row r="80" spans="8:50" x14ac:dyDescent="0.3">
      <c r="AD80" cm="1">
        <f t="array" ref="AD80:AD85">MMULT(MMULT(_xlfn.ANCHORARRAY(AD73),TRANSPOSE(T11:Y35)),AB11:AB35)</f>
        <v>5.1861541819707035E-2</v>
      </c>
      <c r="AL80" cm="1">
        <f t="array" ref="AL80:AL85">MMULT(MMULT(_xlfn.ANCHORARRAY(AL73),TRANSPOSE(AD11:AI35)),_xlfn.ANCHORARRAY(AL11))</f>
        <v>-0.24010945967656283</v>
      </c>
    </row>
    <row r="81" spans="30:38" x14ac:dyDescent="0.3">
      <c r="AD81">
        <v>1.1171953868920494</v>
      </c>
      <c r="AL81">
        <v>-0.66118004925479268</v>
      </c>
    </row>
    <row r="82" spans="30:38" x14ac:dyDescent="0.3">
      <c r="AD82">
        <v>5.8688203999032345</v>
      </c>
      <c r="AL82">
        <v>-0.13288363104584588</v>
      </c>
    </row>
    <row r="83" spans="30:38" x14ac:dyDescent="0.3">
      <c r="AD83">
        <v>1.6673665446662003E-2</v>
      </c>
      <c r="AL83">
        <v>-0.31100154793528245</v>
      </c>
    </row>
    <row r="84" spans="30:38" x14ac:dyDescent="0.3">
      <c r="AD84">
        <v>-1.9924065743466279E-3</v>
      </c>
      <c r="AL84">
        <v>0.2796012727475975</v>
      </c>
    </row>
    <row r="85" spans="30:38" x14ac:dyDescent="0.3">
      <c r="AD85">
        <v>0.60994033205612919</v>
      </c>
      <c r="AL85">
        <v>0.42118039623471798</v>
      </c>
    </row>
  </sheetData>
  <phoneticPr fontId="4" type="noConversion"/>
  <pageMargins left="0.7" right="0.7" top="0.75" bottom="0.75" header="0.3" footer="0.3"/>
  <pageSetup paperSize="3276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FOPDT Fit</vt:lpstr>
      <vt:lpstr>SISO 1x1</vt:lpstr>
      <vt:lpstr>MIMO 2x2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Hedengren</dc:creator>
  <cp:lastModifiedBy>Franck REGAL</cp:lastModifiedBy>
  <dcterms:created xsi:type="dcterms:W3CDTF">2015-07-23T20:55:22Z</dcterms:created>
  <dcterms:modified xsi:type="dcterms:W3CDTF">2025-06-04T14:11:36Z</dcterms:modified>
</cp:coreProperties>
</file>