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drawings/drawing3.xml" ContentType="application/vnd.openxmlformats-officedocument.drawing+xml"/>
  <Override PartName="/xl/tables/table8.xml" ContentType="application/vnd.openxmlformats-officedocument.spreadsheetml.table+xml"/>
  <Override PartName="/xl/drawings/drawing4.xml" ContentType="application/vnd.openxmlformats-officedocument.drawing+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drawings/drawing8.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mc:AlternateContent xmlns:mc="http://schemas.openxmlformats.org/markup-compatibility/2006">
    <mc:Choice Requires="x15">
      <x15ac:absPath xmlns:x15ac="http://schemas.microsoft.com/office/spreadsheetml/2010/11/ac" url="C:\Users\M7510-MOD2\Documents\cc\"/>
    </mc:Choice>
  </mc:AlternateContent>
  <bookViews>
    <workbookView xWindow="0" yWindow="0" windowWidth="19170" windowHeight="12120" tabRatio="709" firstSheet="11" activeTab="13"/>
  </bookViews>
  <sheets>
    <sheet name="validation" sheetId="14" state="hidden" r:id="rId1"/>
    <sheet name="pictures-heroes" sheetId="21" state="hidden" r:id="rId2"/>
    <sheet name="pictures-skill" sheetId="23" state="hidden" r:id="rId3"/>
    <sheet name="pictures-talent1" sheetId="20" state="hidden" r:id="rId4"/>
    <sheet name="pictures-talent2" sheetId="24" state="hidden" r:id="rId5"/>
    <sheet name="pictures-crests" sheetId="25" state="hidden" r:id="rId6"/>
    <sheet name="pictures" sheetId="26" state="hidden" r:id="rId7"/>
    <sheet name="crest-set-helper" sheetId="12" state="hidden" r:id="rId8"/>
    <sheet name="Instructions" sheetId="15" state="hidden" r:id="rId9"/>
    <sheet name="staging-heroes" sheetId="17" state="hidden" r:id="rId10"/>
    <sheet name="staging-crests" sheetId="18" state="hidden" r:id="rId11"/>
    <sheet name="Warehouse - Crests" sheetId="31" r:id="rId12"/>
    <sheet name="Warehouse - Cards" sheetId="32" r:id="rId13"/>
    <sheet name="Total Crests" sheetId="13" r:id="rId14"/>
    <sheet name="Singles" sheetId="27" r:id="rId15"/>
    <sheet name="Heroes" sheetId="1" r:id="rId16"/>
    <sheet name="Garrisons" sheetId="33" r:id="rId17"/>
    <sheet name="Buildings" sheetId="34" r:id="rId18"/>
    <sheet name="buildings-data" sheetId="35" state="hidden" r:id="rId19"/>
  </sheets>
  <definedNames>
    <definedName name="concat.alchemist.1">INDIRECT(pictures!$B$3)</definedName>
    <definedName name="concat.alchemist.2">INDIRECT(pictures!$C$3)</definedName>
    <definedName name="concat.alchemist.3">INDIRECT(pictures!$D$3)</definedName>
    <definedName name="concat.alchemist.4">INDIRECT(pictures!$E$3)</definedName>
    <definedName name="concat.alchemist.5">INDIRECT(pictures!$F$3)</definedName>
    <definedName name="concat.angel.1">INDIRECT(pictures!$B$4)</definedName>
    <definedName name="concat.angel.2">INDIRECT(pictures!$C$4)</definedName>
    <definedName name="concat.angel.3">INDIRECT(pictures!$D$4)</definedName>
    <definedName name="concat.angel.4">INDIRECT(pictures!$E$4)</definedName>
    <definedName name="concat.angel.5">INDIRECT(pictures!$F$4)</definedName>
    <definedName name="concat.anubis.1">INDIRECT(pictures!$B$5)</definedName>
    <definedName name="concat.anubis.2">INDIRECT(pictures!$C$5)</definedName>
    <definedName name="concat.anubis.3">INDIRECT(pictures!$D$5)</definedName>
    <definedName name="concat.anubis.4">INDIRECT(pictures!$E$5)</definedName>
    <definedName name="concat.anubis.5">INDIRECT(pictures!$F$5)</definedName>
    <definedName name="concat.arctica.1">INDIRECT(pictures!$B$6)</definedName>
    <definedName name="concat.arctica.2">INDIRECT(pictures!$C$6)</definedName>
    <definedName name="concat.arctica.3">INDIRECT(pictures!$D$6)</definedName>
    <definedName name="concat.arctica.4">INDIRECT(pictures!$E$6)</definedName>
    <definedName name="concat.arctica.5">INDIRECT(pictures!$F$6)</definedName>
    <definedName name="concat.aries.1">INDIRECT(pictures!$B$7)</definedName>
    <definedName name="concat.aries.2">INDIRECT(pictures!$C$7)</definedName>
    <definedName name="concat.aries.3">INDIRECT(pictures!$D$7)</definedName>
    <definedName name="concat.aries.4">INDIRECT(pictures!$E$7)</definedName>
    <definedName name="concat.aries.5">INDIRECT(pictures!$F$7)</definedName>
    <definedName name="concat.assassin.1">INDIRECT(pictures!$B$8)</definedName>
    <definedName name="concat.assassin.2">INDIRECT(pictures!$C$8)</definedName>
    <definedName name="concat.assassin.3">INDIRECT(pictures!$D$8)</definedName>
    <definedName name="concat.assassin.4">INDIRECT(pictures!$E$8)</definedName>
    <definedName name="concat.assassin.5">INDIRECT(pictures!$F$8)</definedName>
    <definedName name="concat.atlanticore.1">INDIRECT(pictures!$B$9)</definedName>
    <definedName name="concat.atlanticore.2">INDIRECT(pictures!$C$9)</definedName>
    <definedName name="concat.atlanticore.3">INDIRECT(pictures!$D$9)</definedName>
    <definedName name="concat.atlanticore.4">INDIRECT(pictures!$E$9)</definedName>
    <definedName name="concat.atlanticore.5">INDIRECT(pictures!$F$9)</definedName>
    <definedName name="concat.beasttamer.1">INDIRECT(pictures!$B$10)</definedName>
    <definedName name="concat.beasttamer.2">INDIRECT(pictures!$C$10)</definedName>
    <definedName name="concat.beasttamer.3">INDIRECT(pictures!$D$10)</definedName>
    <definedName name="concat.beasttamer.4">INDIRECT(pictures!$E$10)</definedName>
    <definedName name="concat.beasttamer.5">INDIRECT(pictures!$F$10)</definedName>
    <definedName name="concat.candykane.1">INDIRECT(pictures!$B$11)</definedName>
    <definedName name="concat.candykane.2">INDIRECT(pictures!$C$11)</definedName>
    <definedName name="concat.candykane.3">INDIRECT(pictures!$D$11)</definedName>
    <definedName name="concat.candykane.4">INDIRECT(pictures!$E$11)</definedName>
    <definedName name="concat.candykane.5">INDIRECT(pictures!$F$11)</definedName>
    <definedName name="concat.champion.1">INDIRECT(pictures!$B$12)</definedName>
    <definedName name="concat.champion.2">INDIRECT(pictures!$C$12)</definedName>
    <definedName name="concat.champion.3">INDIRECT(pictures!$D$12)</definedName>
    <definedName name="concat.champion.4">INDIRECT(pictures!$E$12)</definedName>
    <definedName name="concat.champion.5">INDIRECT(pictures!$F$12)</definedName>
    <definedName name="concat.cupid.1">INDIRECT(pictures!$B$13)</definedName>
    <definedName name="concat.cupid.2">INDIRECT(pictures!$C$13)</definedName>
    <definedName name="concat.cupid.3">INDIRECT(pictures!$D$13)</definedName>
    <definedName name="concat.cupid.4">INDIRECT(pictures!$E$13)</definedName>
    <definedName name="concat.cupid.5">INDIRECT(pictures!$F$13)</definedName>
    <definedName name="concat.cyclops.1">INDIRECT(pictures!$B$14)</definedName>
    <definedName name="concat.cyclops.2">INDIRECT(pictures!$C$14)</definedName>
    <definedName name="concat.cyclops.3">INDIRECT(pictures!$D$14)</definedName>
    <definedName name="concat.cyclops.4">INDIRECT(pictures!$E$14)</definedName>
    <definedName name="concat.cyclops.5">INDIRECT(pictures!$F$14)</definedName>
    <definedName name="concat.deathknight.1">INDIRECT(pictures!$B$15)</definedName>
    <definedName name="concat.deathknight.2">INDIRECT(pictures!$C$15)</definedName>
    <definedName name="concat.deathknight.3">INDIRECT(pictures!$D$15)</definedName>
    <definedName name="concat.deathknight.4">INDIRECT(pictures!$E$15)</definedName>
    <definedName name="concat.deathknight.5">INDIRECT(pictures!$F$15)</definedName>
    <definedName name="concat.demogorgon.1">INDIRECT(pictures!$B$16)</definedName>
    <definedName name="concat.demogorgon.2">INDIRECT(pictures!$C$16)</definedName>
    <definedName name="concat.demogorgon.3">INDIRECT(pictures!$D$16)</definedName>
    <definedName name="concat.demogorgon.4">INDIRECT(pictures!$E$16)</definedName>
    <definedName name="concat.demogorgon.5">INDIRECT(pictures!$F$16)</definedName>
    <definedName name="concat.destroyer.1">INDIRECT(pictures!$B$17)</definedName>
    <definedName name="concat.destroyer.2">INDIRECT(pictures!$C$17)</definedName>
    <definedName name="concat.destroyer.3">INDIRECT(pictures!$D$17)</definedName>
    <definedName name="concat.destroyer.4">INDIRECT(pictures!$E$17)</definedName>
    <definedName name="concat.destroyer.5">INDIRECT(pictures!$F$17)</definedName>
    <definedName name="concat.dracax.1">INDIRECT(pictures!$B$18)</definedName>
    <definedName name="concat.dracax.2">INDIRECT(pictures!$C$18)</definedName>
    <definedName name="concat.dracax.3">INDIRECT(pictures!$D$18)</definedName>
    <definedName name="concat.dracax.4">INDIRECT(pictures!$E$18)</definedName>
    <definedName name="concat.dracax.5">INDIRECT(pictures!$F$18)</definedName>
    <definedName name="concat.dreaddrake.1">INDIRECT(pictures!$B$19)</definedName>
    <definedName name="concat.dreaddrake.2">INDIRECT(pictures!$C$19)</definedName>
    <definedName name="concat.dreaddrake.3">INDIRECT(pictures!$D$19)</definedName>
    <definedName name="concat.dreaddrake.4">INDIRECT(pictures!$E$19)</definedName>
    <definedName name="concat.dreaddrake.5">INDIRECT(pictures!$F$19)</definedName>
    <definedName name="concat.druid.1">INDIRECT(pictures!$B$20)</definedName>
    <definedName name="concat.druid.2">INDIRECT(pictures!$C$20)</definedName>
    <definedName name="concat.druid.3">INDIRECT(pictures!$D$20)</definedName>
    <definedName name="concat.druid.4">INDIRECT(pictures!$E$20)</definedName>
    <definedName name="concat.druid.5">INDIRECT(pictures!$F$20)</definedName>
    <definedName name="concat.dryad.1">INDIRECT(pictures!$B$21)</definedName>
    <definedName name="concat.dryad.2">INDIRECT(pictures!$C$21)</definedName>
    <definedName name="concat.dryad.3">INDIRECT(pictures!$D$21)</definedName>
    <definedName name="concat.dryad.4">INDIRECT(pictures!$E$21)</definedName>
    <definedName name="concat.dryad.5">INDIRECT(pictures!$F$21)</definedName>
    <definedName name="concat.engineer.1">INDIRECT(pictures!$B$22)</definedName>
    <definedName name="concat.engineer.2">INDIRECT(pictures!$C$22)</definedName>
    <definedName name="concat.engineer.3">INDIRECT(pictures!$D$22)</definedName>
    <definedName name="concat.engineer.4">INDIRECT(pictures!$E$22)</definedName>
    <definedName name="concat.engineer.5">INDIRECT(pictures!$F$22)</definedName>
    <definedName name="concat.executioner.1">INDIRECT(pictures!$B$23)</definedName>
    <definedName name="concat.executioner.2">INDIRECT(pictures!$C$23)</definedName>
    <definedName name="concat.executioner.3">INDIRECT(pictures!$D$23)</definedName>
    <definedName name="concat.executioner.4">INDIRECT(pictures!$E$23)</definedName>
    <definedName name="concat.executioner.5">INDIRECT(pictures!$F$23)</definedName>
    <definedName name="concat.frostwitch.1">INDIRECT(pictures!$B$24)</definedName>
    <definedName name="concat.frostwitch.2">INDIRECT(pictures!$C$24)</definedName>
    <definedName name="concat.frostwitch.3">INDIRECT(pictures!$D$24)</definedName>
    <definedName name="concat.frostwitch.4">INDIRECT(pictures!$E$24)</definedName>
    <definedName name="concat.frostwitch.5">INDIRECT(pictures!$F$24)</definedName>
    <definedName name="concat.ghoulem.1">INDIRECT(pictures!$B$25)</definedName>
    <definedName name="concat.ghoulem.2">INDIRECT(pictures!$C$25)</definedName>
    <definedName name="concat.ghoulem.3">INDIRECT(pictures!$D$25)</definedName>
    <definedName name="concat.ghoulem.4">INDIRECT(pictures!$E$25)</definedName>
    <definedName name="concat.ghoulem.5">INDIRECT(pictures!$F$25)</definedName>
    <definedName name="concat.grimfiend.1">INDIRECT(pictures!$B$26)</definedName>
    <definedName name="concat.grimfiend.2">INDIRECT(pictures!$C$26)</definedName>
    <definedName name="concat.grimfiend.3">INDIRECT(pictures!$D$26)</definedName>
    <definedName name="concat.grimfiend.4">INDIRECT(pictures!$E$26)</definedName>
    <definedName name="concat.grimfiend.5">INDIRECT(pictures!$F$26)</definedName>
    <definedName name="concat.grizzlyreaper.1">INDIRECT(pictures!$B$27)</definedName>
    <definedName name="concat.grizzlyreaper.2">INDIRECT(pictures!$C$27)</definedName>
    <definedName name="concat.grizzlyreaper.3">INDIRECT(pictures!$D$27)</definedName>
    <definedName name="concat.grizzlyreaper.4">INDIRECT(pictures!$E$27)</definedName>
    <definedName name="concat.grizzlyreaper.5">INDIRECT(pictures!$F$27)</definedName>
    <definedName name="concat.harpyqueen.1">INDIRECT(pictures!$B$28)</definedName>
    <definedName name="concat.harpyqueen.2">INDIRECT(pictures!$C$28)</definedName>
    <definedName name="concat.harpyqueen.3">INDIRECT(pictures!$D$28)</definedName>
    <definedName name="concat.harpyqueen.4">INDIRECT(pictures!$E$28)</definedName>
    <definedName name="concat.harpyqueen.5">INDIRECT(pictures!$F$28)</definedName>
    <definedName name="concat.heartbreaker.1">INDIRECT(pictures!$B$29)</definedName>
    <definedName name="concat.heartbreaker.2">INDIRECT(pictures!$C$29)</definedName>
    <definedName name="concat.heartbreaker.3">INDIRECT(pictures!$D$29)</definedName>
    <definedName name="concat.heartbreaker.4">INDIRECT(pictures!$E$29)</definedName>
    <definedName name="concat.heartbreaker.5">INDIRECT(pictures!$F$29)</definedName>
    <definedName name="concat.hillgiant.1">INDIRECT(pictures!$B$30)</definedName>
    <definedName name="concat.hillgiant.2">INDIRECT(pictures!$C$30)</definedName>
    <definedName name="concat.hillgiant.3">INDIRECT(pictures!$D$30)</definedName>
    <definedName name="concat.hillgiant.4">INDIRECT(pictures!$E$30)</definedName>
    <definedName name="concat.hillgiant.5">INDIRECT(pictures!$F$30)</definedName>
    <definedName name="concat.icedemon.1">INDIRECT(pictures!$B$31)</definedName>
    <definedName name="concat.icedemon.2">INDIRECT(pictures!$C$31)</definedName>
    <definedName name="concat.icedemon.3">INDIRECT(pictures!$D$31)</definedName>
    <definedName name="concat.icedemon.4">INDIRECT(pictures!$E$31)</definedName>
    <definedName name="concat.icedemon.5">INDIRECT(pictures!$F$31)</definedName>
    <definedName name="concat.immortep.1">INDIRECT(pictures!$B$32)</definedName>
    <definedName name="concat.immortep.2">INDIRECT(pictures!$C$32)</definedName>
    <definedName name="concat.immortep.3">INDIRECT(pictures!$D$32)</definedName>
    <definedName name="concat.immortep.4">INDIRECT(pictures!$E$32)</definedName>
    <definedName name="concat.immortep.5">INDIRECT(pictures!$F$32)</definedName>
    <definedName name="concat.ladyleo.1">INDIRECT(pictures!$B$33)</definedName>
    <definedName name="concat.ladyleo.2">INDIRECT(pictures!$C$33)</definedName>
    <definedName name="concat.ladyleo.3">INDIRECT(pictures!$D$33)</definedName>
    <definedName name="concat.ladyleo.4">INDIRECT(pictures!$E$33)</definedName>
    <definedName name="concat.ladyleo.5">INDIRECT(pictures!$F$33)</definedName>
    <definedName name="concat.lilnick.1">INDIRECT(pictures!$B$34)</definedName>
    <definedName name="concat.lilnick.2">INDIRECT(pictures!$C$34)</definedName>
    <definedName name="concat.lilnick.3">INDIRECT(pictures!$D$34)</definedName>
    <definedName name="concat.lilnick.4">INDIRECT(pictures!$E$34)</definedName>
    <definedName name="concat.lilnick.5">INDIRECT(pictures!$F$34)</definedName>
    <definedName name="concat.marauder.1">INDIRECT(pictures!$B$35)</definedName>
    <definedName name="concat.marauder.2">INDIRECT(pictures!$C$35)</definedName>
    <definedName name="concat.marauder.3">INDIRECT(pictures!$D$35)</definedName>
    <definedName name="concat.marauder.4">INDIRECT(pictures!$E$35)</definedName>
    <definedName name="concat.marauder.5">INDIRECT(pictures!$F$35)</definedName>
    <definedName name="concat.marksman.1">INDIRECT(pictures!$B$36)</definedName>
    <definedName name="concat.marksman.2">INDIRECT(pictures!$C$36)</definedName>
    <definedName name="concat.marksman.3">INDIRECT(pictures!$D$36)</definedName>
    <definedName name="concat.marksman.4">INDIRECT(pictures!$E$36)</definedName>
    <definedName name="concat.marksman.5">INDIRECT(pictures!$F$36)</definedName>
    <definedName name="concat.medusa.1">INDIRECT(pictures!$B$37)</definedName>
    <definedName name="concat.medusa.2">INDIRECT(pictures!$C$37)</definedName>
    <definedName name="concat.medusa.3">INDIRECT(pictures!$D$37)</definedName>
    <definedName name="concat.medusa.4">INDIRECT(pictures!$E$37)</definedName>
    <definedName name="concat.medusa.5">INDIRECT(pictures!$F$37)</definedName>
    <definedName name="concat.michael.1">INDIRECT(pictures!$B$38)</definedName>
    <definedName name="concat.michael.2">INDIRECT(pictures!$C$38)</definedName>
    <definedName name="concat.michael.3">INDIRECT(pictures!$D$38)</definedName>
    <definedName name="concat.michael.4">INDIRECT(pictures!$E$38)</definedName>
    <definedName name="concat.michael.5">INDIRECT(pictures!$F$38)</definedName>
    <definedName name="concat.minotaurchieftain.1">INDIRECT(pictures!$B$39)</definedName>
    <definedName name="concat.minotaurchieftain.2">INDIRECT(pictures!$C$39)</definedName>
    <definedName name="concat.minotaurchieftain.3">INDIRECT(pictures!$D$39)</definedName>
    <definedName name="concat.minotaurchieftain.4">INDIRECT(pictures!$E$39)</definedName>
    <definedName name="concat.minotaurchieftain.5">INDIRECT(pictures!$F$39)</definedName>
    <definedName name="concat.moltanica.1">INDIRECT(pictures!$B$40)</definedName>
    <definedName name="concat.moltanica.2">INDIRECT(pictures!$C$40)</definedName>
    <definedName name="concat.moltanica.3">INDIRECT(pictures!$D$40)</definedName>
    <definedName name="concat.moltanica.4">INDIRECT(pictures!$E$40)</definedName>
    <definedName name="concat.moltanica.5">INDIRECT(pictures!$F$40)</definedName>
    <definedName name="concat.ninja.1">INDIRECT(pictures!$B$41)</definedName>
    <definedName name="concat.ninja.2">INDIRECT(pictures!$C$41)</definedName>
    <definedName name="concat.ninja.3">INDIRECT(pictures!$D$41)</definedName>
    <definedName name="concat.ninja.4">INDIRECT(pictures!$E$41)</definedName>
    <definedName name="concat.ninja.5">INDIRECT(pictures!$F$41)</definedName>
    <definedName name="concat.orksbane.1">INDIRECT(pictures!$B$42)</definedName>
    <definedName name="concat.orksbane.2">INDIRECT(pictures!$C$42)</definedName>
    <definedName name="concat.orksbane.3">INDIRECT(pictures!$D$42)</definedName>
    <definedName name="concat.orksbane.4">INDIRECT(pictures!$E$42)</definedName>
    <definedName name="concat.orksbane.5">INDIRECT(pictures!$F$42)</definedName>
    <definedName name="concat.painda.1">INDIRECT(pictures!$B$43)</definedName>
    <definedName name="concat.painda.2">INDIRECT(pictures!$C$43)</definedName>
    <definedName name="concat.painda.3">INDIRECT(pictures!$D$43)</definedName>
    <definedName name="concat.painda.4">INDIRECT(pictures!$E$43)</definedName>
    <definedName name="concat.painda.5">INDIRECT(pictures!$F$43)</definedName>
    <definedName name="concat.paladin.1">INDIRECT(pictures!$B$44)</definedName>
    <definedName name="concat.paladin.2">INDIRECT(pictures!$C$44)</definedName>
    <definedName name="concat.paladin.3">INDIRECT(pictures!$D$44)</definedName>
    <definedName name="concat.paladin.4">INDIRECT(pictures!$E$44)</definedName>
    <definedName name="concat.paladin.5">INDIRECT(pictures!$F$44)</definedName>
    <definedName name="concat.phantomking.1">INDIRECT(pictures!$B$45)</definedName>
    <definedName name="concat.phantomking.2">INDIRECT(pictures!$C$45)</definedName>
    <definedName name="concat.phantomking.3">INDIRECT(pictures!$D$45)</definedName>
    <definedName name="concat.phantomking.4">INDIRECT(pictures!$E$45)</definedName>
    <definedName name="concat.phantomking.5">INDIRECT(pictures!$F$45)</definedName>
    <definedName name="concat.pixie.1">INDIRECT(pictures!$B$46)</definedName>
    <definedName name="concat.pixie.2">INDIRECT(pictures!$C$46)</definedName>
    <definedName name="concat.pixie.3">INDIRECT(pictures!$D$46)</definedName>
    <definedName name="concat.pixie.4">INDIRECT(pictures!$E$46)</definedName>
    <definedName name="concat.pixie.5">INDIRECT(pictures!$F$46)</definedName>
    <definedName name="concat.pumpkinduke.1">INDIRECT(pictures!$B$47)</definedName>
    <definedName name="concat.pumpkinduke.2">INDIRECT(pictures!$C$47)</definedName>
    <definedName name="concat.pumpkinduke.3">INDIRECT(pictures!$D$47)</definedName>
    <definedName name="concat.pumpkinduke.4">INDIRECT(pictures!$E$47)</definedName>
    <definedName name="concat.pumpkinduke.5">INDIRECT(pictures!$F$47)</definedName>
    <definedName name="concat.revenant.1">INDIRECT(pictures!$B$48)</definedName>
    <definedName name="concat.revenant.2">INDIRECT(pictures!$C$48)</definedName>
    <definedName name="concat.revenant.3">INDIRECT(pictures!$D$48)</definedName>
    <definedName name="concat.revenant.4">INDIRECT(pictures!$E$48)</definedName>
    <definedName name="concat.revenant.5">INDIRECT(pictures!$F$48)</definedName>
    <definedName name="concat.santaboom.1">INDIRECT(pictures!$B$49)</definedName>
    <definedName name="concat.santaboom.2">INDIRECT(pictures!$C$49)</definedName>
    <definedName name="concat.santaboom.3">INDIRECT(pictures!$D$49)</definedName>
    <definedName name="concat.santaboom.4">INDIRECT(pictures!$E$49)</definedName>
    <definedName name="concat.santaboom.5">INDIRECT(pictures!$F$49)</definedName>
    <definedName name="concat.serpentqueen.1">INDIRECT(pictures!$B$50)</definedName>
    <definedName name="concat.serpentqueen.2">INDIRECT(pictures!$C$50)</definedName>
    <definedName name="concat.serpentqueen.3">INDIRECT(pictures!$D$50)</definedName>
    <definedName name="concat.serpentqueen.4">INDIRECT(pictures!$E$50)</definedName>
    <definedName name="concat.serpentqueen.5">INDIRECT(pictures!$F$50)</definedName>
    <definedName name="concat.shaman.1">INDIRECT(pictures!$B$51)</definedName>
    <definedName name="concat.shaman.2">INDIRECT(pictures!$C$51)</definedName>
    <definedName name="concat.shaman.3">INDIRECT(pictures!$D$51)</definedName>
    <definedName name="concat.shaman.4">INDIRECT(pictures!$E$51)</definedName>
    <definedName name="concat.shaman.5">INDIRECT(pictures!$F$51)</definedName>
    <definedName name="concat.siren.1">INDIRECT(pictures!$B$52)</definedName>
    <definedName name="concat.siren.2">INDIRECT(pictures!$C$52)</definedName>
    <definedName name="concat.siren.3">INDIRECT(pictures!$D$52)</definedName>
    <definedName name="concat.siren.4">INDIRECT(pictures!$E$52)</definedName>
    <definedName name="concat.siren.5">INDIRECT(pictures!$F$52)</definedName>
    <definedName name="concat.skullknight.1">INDIRECT(pictures!$B$53)</definedName>
    <definedName name="concat.skullknight.2">INDIRECT(pictures!$C$53)</definedName>
    <definedName name="concat.skullknight.3">INDIRECT(pictures!$D$53)</definedName>
    <definedName name="concat.skullknight.4">INDIRECT(pictures!$E$53)</definedName>
    <definedName name="concat.skullknight.5">INDIRECT(pictures!$F$53)</definedName>
    <definedName name="concat.snowzilla.1">INDIRECT(pictures!$B$54)</definedName>
    <definedName name="concat.snowzilla.2">INDIRECT(pictures!$C$54)</definedName>
    <definedName name="concat.snowzilla.3">INDIRECT(pictures!$D$54)</definedName>
    <definedName name="concat.snowzilla.4">INDIRECT(pictures!$E$54)</definedName>
    <definedName name="concat.snowzilla.5">INDIRECT(pictures!$F$54)</definedName>
    <definedName name="concat.spiritmage.1">INDIRECT(pictures!$B$55)</definedName>
    <definedName name="concat.spiritmage.2">INDIRECT(pictures!$C$55)</definedName>
    <definedName name="concat.spiritmage.3">INDIRECT(pictures!$D$55)</definedName>
    <definedName name="concat.spiritmage.4">INDIRECT(pictures!$E$55)</definedName>
    <definedName name="concat.spiritmage.5">INDIRECT(pictures!$F$55)</definedName>
    <definedName name="concat.succubus.1">INDIRECT(pictures!$B$56)</definedName>
    <definedName name="concat.succubus.2">INDIRECT(pictures!$C$56)</definedName>
    <definedName name="concat.succubus.3">INDIRECT(pictures!$D$56)</definedName>
    <definedName name="concat.succubus.4">INDIRECT(pictures!$E$56)</definedName>
    <definedName name="concat.succubus.5">INDIRECT(pictures!$F$56)</definedName>
    <definedName name="concat.thundergod.1">INDIRECT(pictures!$B$57)</definedName>
    <definedName name="concat.thundergod.2">INDIRECT(pictures!$C$57)</definedName>
    <definedName name="concat.thundergod.3">INDIRECT(pictures!$D$57)</definedName>
    <definedName name="concat.thundergod.4">INDIRECT(pictures!$E$57)</definedName>
    <definedName name="concat.thundergod.5">INDIRECT(pictures!$F$57)</definedName>
    <definedName name="concat.treantaur.1">INDIRECT(pictures!$B$58)</definedName>
    <definedName name="concat.treantaur.2">INDIRECT(pictures!$C$58)</definedName>
    <definedName name="concat.treantaur.3">INDIRECT(pictures!$D$58)</definedName>
    <definedName name="concat.treantaur.4">INDIRECT(pictures!$E$58)</definedName>
    <definedName name="concat.treantaur.5">INDIRECT(pictures!$F$58)</definedName>
    <definedName name="concat.triton.1">INDIRECT(pictures!$B$59)</definedName>
    <definedName name="concat.triton.2">INDIRECT(pictures!$C$59)</definedName>
    <definedName name="concat.triton.3">INDIRECT(pictures!$D$59)</definedName>
    <definedName name="concat.triton.4">INDIRECT(pictures!$E$59)</definedName>
    <definedName name="concat.triton.5">INDIRECT(pictures!$F$59)</definedName>
    <definedName name="concat.trixietreat.1">INDIRECT(pictures!$B$60)</definedName>
    <definedName name="concat.trixietreat.2">INDIRECT(pictures!$C$60)</definedName>
    <definedName name="concat.trixietreat.3">INDIRECT(pictures!$D$60)</definedName>
    <definedName name="concat.trixietreat.4">INDIRECT(pictures!$E$60)</definedName>
    <definedName name="concat.trixietreat.5">INDIRECT(pictures!$F$60)</definedName>
    <definedName name="concat.valentina.1">INDIRECT(pictures!$B$61)</definedName>
    <definedName name="concat.valentina.2">INDIRECT(pictures!$C$61)</definedName>
    <definedName name="concat.valentina.3">INDIRECT(pictures!$D$61)</definedName>
    <definedName name="concat.valentina.4">INDIRECT(pictures!$E$61)</definedName>
    <definedName name="concat.valentina.5">INDIRECT(pictures!$F$61)</definedName>
    <definedName name="concat.vladdracula.1">INDIRECT(pictures!$B$62)</definedName>
    <definedName name="concat.vladdracula.2">INDIRECT(pictures!$C$62)</definedName>
    <definedName name="concat.vladdracula.3">INDIRECT(pictures!$D$62)</definedName>
    <definedName name="concat.vladdracula.4">INDIRECT(pictures!$E$62)</definedName>
    <definedName name="concat.vladdracula.5">INDIRECT(pictures!$F$62)</definedName>
    <definedName name="concat.warlock.1">INDIRECT(pictures!$B$63)</definedName>
    <definedName name="concat.warlock.2">INDIRECT(pictures!$C$63)</definedName>
    <definedName name="concat.warlock.3">INDIRECT(pictures!$D$63)</definedName>
    <definedName name="concat.warlock.4">INDIRECT(pictures!$E$63)</definedName>
    <definedName name="concat.warlock.5">INDIRECT(pictures!$F$63)</definedName>
    <definedName name="concat.werewolf.1">INDIRECT(pictures!$B$64)</definedName>
    <definedName name="concat.werewolf.2">INDIRECT(pictures!$C$64)</definedName>
    <definedName name="concat.werewolf.3">INDIRECT(pictures!$D$64)</definedName>
    <definedName name="concat.werewolf.4">INDIRECT(pictures!$E$64)</definedName>
    <definedName name="concat.werewolf.5">INDIRECT(pictures!$F$64)</definedName>
    <definedName name="crest.berserk">'pictures-crests'!$B$2</definedName>
    <definedName name="crest.bladeshell">'pictures-crests'!$B$3</definedName>
    <definedName name="crest.bulwark">'pictures-crests'!$B$4</definedName>
    <definedName name="crest.deadlystrike">'pictures-crests'!$B$5</definedName>
    <definedName name="crest.empty">'pictures-crests'!$B$20</definedName>
    <definedName name="crest.flameguard">'pictures-crests'!$B$6</definedName>
    <definedName name="crest.heavyblow">'pictures-crests'!$B$7</definedName>
    <definedName name="crest.lifedrain">'pictures-crests'!$B$8</definedName>
    <definedName name="crest.psyshield">'pictures-crests'!$B$9</definedName>
    <definedName name="crest.revitalize">'pictures-crests'!$B$10</definedName>
    <definedName name="crest.revive">'pictures-crests'!$B$11</definedName>
    <definedName name="crest.scatter">'pictures-crests'!$B$12</definedName>
    <definedName name="crest.scorch">'pictures-crests'!$B$13</definedName>
    <definedName name="crest.selfdestruct">'pictures-crests'!$B$14</definedName>
    <definedName name="crest.slowdown">'pictures-crests'!$B$15</definedName>
    <definedName name="crest.sprint">'pictures-crests'!$B$16</definedName>
    <definedName name="crest.stoneskin">'pictures-crests'!$B$17</definedName>
    <definedName name="crest.tenacity">'pictures-crests'!$B$18</definedName>
    <definedName name="crest.wargod">'pictures-crests'!$B$19</definedName>
    <definedName name="hero.alchemist.stage0">'pictures-heroes'!$D$2</definedName>
    <definedName name="hero.alchemist.stage1">'pictures-heroes'!$B$2</definedName>
    <definedName name="hero.alchemist.stage2">'pictures-heroes'!$C$2</definedName>
    <definedName name="hero.angel.stage0">'pictures-heroes'!$D$3</definedName>
    <definedName name="hero.angel.stage1">'pictures-heroes'!$B$3</definedName>
    <definedName name="hero.angel.stage2">'pictures-heroes'!$C$3</definedName>
    <definedName name="hero.anubis.stage0">'pictures-heroes'!$D$4</definedName>
    <definedName name="hero.anubis.stage1">'pictures-heroes'!$B$4</definedName>
    <definedName name="hero.anubis.stage2">'pictures-heroes'!$C$4</definedName>
    <definedName name="hero.arctica.stage0">'pictures-heroes'!$D$5</definedName>
    <definedName name="hero.arctica.stage1">'pictures-heroes'!$B$5</definedName>
    <definedName name="hero.arctica.stage2">'pictures-heroes'!$C$5</definedName>
    <definedName name="hero.aries.stage0">'pictures-heroes'!$D$6</definedName>
    <definedName name="hero.aries.stage1">'pictures-heroes'!$B$6</definedName>
    <definedName name="hero.aries.stage2">'pictures-heroes'!$C$6</definedName>
    <definedName name="hero.assassin.stage0">'pictures-heroes'!$D$7</definedName>
    <definedName name="hero.assassin.stage1">'pictures-heroes'!$B$7</definedName>
    <definedName name="hero.assassin.stage2">'pictures-heroes'!$C$7</definedName>
    <definedName name="hero.atlanticore.stage0">'pictures-heroes'!$D$8</definedName>
    <definedName name="hero.atlanticore.stage1">'pictures-heroes'!$B$8</definedName>
    <definedName name="hero.atlanticore.stage2">'pictures-heroes'!$C$8</definedName>
    <definedName name="hero.beasttamer.stage0">'pictures-heroes'!$D$9</definedName>
    <definedName name="hero.beasttamer.stage1">'pictures-heroes'!$B$9</definedName>
    <definedName name="hero.beasttamer.stage2">'pictures-heroes'!$C$9</definedName>
    <definedName name="hero.candykane.stage0">'pictures-heroes'!$D$10</definedName>
    <definedName name="hero.candykane.stage1">'pictures-heroes'!$B$10</definedName>
    <definedName name="hero.candykane.stage2">'pictures-heroes'!$C$10</definedName>
    <definedName name="hero.champion.stage0">'pictures-heroes'!$D$11</definedName>
    <definedName name="hero.champion.stage1">'pictures-heroes'!$B$11</definedName>
    <definedName name="hero.champion.stage2">'pictures-heroes'!$C$11</definedName>
    <definedName name="hero.cupid.stage0">'pictures-heroes'!$D$12</definedName>
    <definedName name="hero.cupid.stage1">'pictures-heroes'!$B$12</definedName>
    <definedName name="hero.cupid.stage2">'pictures-heroes'!$C$12</definedName>
    <definedName name="hero.cyclops.stage0">'pictures-heroes'!$D$13</definedName>
    <definedName name="hero.cyclops.stage1">'pictures-heroes'!$B$13</definedName>
    <definedName name="hero.cyclops.stage2">'pictures-heroes'!$C$13</definedName>
    <definedName name="hero.deathknight.stage0">'pictures-heroes'!$D$14</definedName>
    <definedName name="hero.deathknight.stage1">'pictures-heroes'!$B$14</definedName>
    <definedName name="hero.deathknight.stage2">'pictures-heroes'!$C$14</definedName>
    <definedName name="hero.demogorgon.stage0">'pictures-heroes'!$D$15</definedName>
    <definedName name="hero.demogorgon.stage1">'pictures-heroes'!$B$15</definedName>
    <definedName name="hero.demogorgon.stage2">'pictures-heroes'!$C$15</definedName>
    <definedName name="hero.destroyer.stage0">'pictures-heroes'!$D$16</definedName>
    <definedName name="hero.destroyer.stage1">'pictures-heroes'!$B$16</definedName>
    <definedName name="hero.destroyer.stage2">'pictures-heroes'!$C$16</definedName>
    <definedName name="hero.dracax.stage0">'pictures-heroes'!$D$17</definedName>
    <definedName name="hero.dracax.stage1">'pictures-heroes'!$B$17</definedName>
    <definedName name="hero.dracax.stage2">'pictures-heroes'!$C$17</definedName>
    <definedName name="hero.dreaddrake.stage0">'pictures-heroes'!$D$18</definedName>
    <definedName name="hero.dreaddrake.stage1">'pictures-heroes'!$B$18</definedName>
    <definedName name="hero.dreaddrake.stage2">'pictures-heroes'!$C$18</definedName>
    <definedName name="hero.druid.stage0">'pictures-heroes'!$D$19</definedName>
    <definedName name="hero.druid.stage1">'pictures-heroes'!$B$19</definedName>
    <definedName name="hero.druid.stage2">'pictures-heroes'!$C$19</definedName>
    <definedName name="hero.dryad.stage0">'pictures-heroes'!$D$20</definedName>
    <definedName name="hero.dryad.stage1">'pictures-heroes'!$B$20</definedName>
    <definedName name="hero.dryad.stage2">'pictures-heroes'!$C$20</definedName>
    <definedName name="hero.engineer.stage0">'pictures-heroes'!$D$21</definedName>
    <definedName name="hero.engineer.stage1">'pictures-heroes'!$B$21</definedName>
    <definedName name="hero.engineer.stage2">'pictures-heroes'!$C$21</definedName>
    <definedName name="hero.executioner.stage0">'pictures-heroes'!$D$22</definedName>
    <definedName name="hero.executioner.stage1">'pictures-heroes'!$B$22</definedName>
    <definedName name="hero.executioner.stage2">'pictures-heroes'!$C$22</definedName>
    <definedName name="hero.frostwitch.stage0">'pictures-heroes'!$D$23</definedName>
    <definedName name="hero.frostwitch.stage1">'pictures-heroes'!$B$23</definedName>
    <definedName name="hero.frostwitch.stage2">'pictures-heroes'!$C$23</definedName>
    <definedName name="hero.ghoulem.stage0">'pictures-heroes'!$D$24</definedName>
    <definedName name="hero.ghoulem.stage1">'pictures-heroes'!$B$24</definedName>
    <definedName name="hero.ghoulem.stage2">'pictures-heroes'!$C$24</definedName>
    <definedName name="hero.grimfiend.stage0">'pictures-heroes'!$D$25</definedName>
    <definedName name="hero.grimfiend.stage1">'pictures-heroes'!$B$25</definedName>
    <definedName name="hero.grimfiend.stage2">'pictures-heroes'!$C$25</definedName>
    <definedName name="hero.grizzlyreaper.stage0">'pictures-heroes'!$D$26</definedName>
    <definedName name="hero.grizzlyreaper.stage1">'pictures-heroes'!$B$26</definedName>
    <definedName name="hero.grizzlyreaper.stage2">'pictures-heroes'!$C$26</definedName>
    <definedName name="hero.harpyqueen.stage0">'pictures-heroes'!$D$27</definedName>
    <definedName name="hero.harpyqueen.stage1">'pictures-heroes'!$B$27</definedName>
    <definedName name="hero.harpyqueen.stage2">'pictures-heroes'!$C$27</definedName>
    <definedName name="hero.heartbreaker.stage0">'pictures-heroes'!$D$28</definedName>
    <definedName name="hero.heartbreaker.stage1">'pictures-heroes'!$B$28</definedName>
    <definedName name="hero.heartbreaker.stage2">'pictures-heroes'!$C$28</definedName>
    <definedName name="hero.hillgiant.stage0">'pictures-heroes'!$D$29</definedName>
    <definedName name="hero.hillgiant.stage1">'pictures-heroes'!$B$29</definedName>
    <definedName name="hero.hillgiant.stage2">'pictures-heroes'!$C$29</definedName>
    <definedName name="hero.icedemon.stage0">'pictures-heroes'!$D$30</definedName>
    <definedName name="hero.icedemon.stage1">'pictures-heroes'!$B$30</definedName>
    <definedName name="hero.icedemon.stage2">'pictures-heroes'!$C$30</definedName>
    <definedName name="hero.immortep.stage0">'pictures-heroes'!$D$31</definedName>
    <definedName name="hero.immortep.stage1">'pictures-heroes'!$B$31</definedName>
    <definedName name="hero.immortep.stage2">'pictures-heroes'!$C$31</definedName>
    <definedName name="hero.ladyleo.stage0">'pictures-heroes'!$D$32</definedName>
    <definedName name="hero.ladyleo.stage1">'pictures-heroes'!$B$32</definedName>
    <definedName name="hero.ladyleo.stage2">'pictures-heroes'!$C$32</definedName>
    <definedName name="hero.lilnick.stage0">'pictures-heroes'!$D$33</definedName>
    <definedName name="hero.lilnick.stage1">'pictures-heroes'!$B$33</definedName>
    <definedName name="hero.lilnick.stage2">'pictures-heroes'!$C$33</definedName>
    <definedName name="hero.marauder.stage0">'pictures-heroes'!$D$34</definedName>
    <definedName name="hero.marauder.stage1">'pictures-heroes'!$B$34</definedName>
    <definedName name="hero.marauder.stage2">'pictures-heroes'!$C$34</definedName>
    <definedName name="hero.marksman.stage0">'pictures-heroes'!$D$35</definedName>
    <definedName name="hero.marksman.stage1">'pictures-heroes'!$B$35</definedName>
    <definedName name="hero.marksman.stage2">'pictures-heroes'!$C$35</definedName>
    <definedName name="hero.medusa.stage0">'pictures-heroes'!$D$36</definedName>
    <definedName name="hero.medusa.stage1">'pictures-heroes'!$B$36</definedName>
    <definedName name="hero.medusa.stage2">'pictures-heroes'!$C$36</definedName>
    <definedName name="hero.michael.stage0">'pictures-heroes'!$D$37</definedName>
    <definedName name="hero.michael.stage1">'pictures-heroes'!$B$37</definedName>
    <definedName name="hero.michael.stage2">'pictures-heroes'!$C$37</definedName>
    <definedName name="hero.minotaurchieftain.stage0">'pictures-heroes'!$D$38</definedName>
    <definedName name="hero.minotaurchieftain.stage1">'pictures-heroes'!$B$38</definedName>
    <definedName name="hero.minotaurchieftain.stage2">'pictures-heroes'!$C$38</definedName>
    <definedName name="hero.moltanica.stage0">'pictures-heroes'!$D$39</definedName>
    <definedName name="hero.moltanica.stage1">'pictures-heroes'!$B$39</definedName>
    <definedName name="hero.moltanica.stage2">'pictures-heroes'!$C$39</definedName>
    <definedName name="hero.ninja.stage0">'pictures-heroes'!$D$40</definedName>
    <definedName name="hero.ninja.stage1">'pictures-heroes'!$B$40</definedName>
    <definedName name="hero.ninja.stage2">'pictures-heroes'!$C$40</definedName>
    <definedName name="hero.orksbane.stage0">'pictures-heroes'!$D$41</definedName>
    <definedName name="hero.orksbane.stage1">'pictures-heroes'!$B$41</definedName>
    <definedName name="hero.orksbane.stage2">'pictures-heroes'!$C$41</definedName>
    <definedName name="hero.painda.stage0">'pictures-heroes'!$D$42</definedName>
    <definedName name="hero.painda.stage1">'pictures-heroes'!$B$42</definedName>
    <definedName name="hero.painda.stage2">'pictures-heroes'!$C$42</definedName>
    <definedName name="hero.paladin.stage0">'pictures-heroes'!$D$43</definedName>
    <definedName name="hero.paladin.stage1">'pictures-heroes'!$B$43</definedName>
    <definedName name="hero.paladin.stage2">'pictures-heroes'!$C$43</definedName>
    <definedName name="hero.phantomking.stage0">'pictures-heroes'!$D$44</definedName>
    <definedName name="hero.phantomking.stage1">'pictures-heroes'!$B$44</definedName>
    <definedName name="hero.phantomking.stage2">'pictures-heroes'!$C$44</definedName>
    <definedName name="hero.pixie.stage0">'pictures-heroes'!$D$45</definedName>
    <definedName name="hero.pixie.stage1">'pictures-heroes'!$B$45</definedName>
    <definedName name="hero.pixie.stage2">'pictures-heroes'!$C$45</definedName>
    <definedName name="hero.pumpkinduke.stage0">'pictures-heroes'!$D$46</definedName>
    <definedName name="hero.pumpkinduke.stage1">'pictures-heroes'!$B$46</definedName>
    <definedName name="hero.pumpkinduke.stage2">'pictures-heroes'!$C$46</definedName>
    <definedName name="hero.revenant.stage0">'pictures-heroes'!$D$47</definedName>
    <definedName name="hero.revenant.stage1">'pictures-heroes'!$B$47</definedName>
    <definedName name="hero.revenant.stage2">'pictures-heroes'!$C$47</definedName>
    <definedName name="hero.santaboom.stage0">'pictures-heroes'!$D$48</definedName>
    <definedName name="hero.santaboom.stage1">'pictures-heroes'!$B$48</definedName>
    <definedName name="hero.santaboom.stage2">'pictures-heroes'!$C$48</definedName>
    <definedName name="hero.serpentqueen.stage0">'pictures-heroes'!$D$49</definedName>
    <definedName name="hero.serpentqueen.stage1">'pictures-heroes'!$B$49</definedName>
    <definedName name="hero.serpentqueen.stage2">'pictures-heroes'!$C$49</definedName>
    <definedName name="hero.shaman.stage0">'pictures-heroes'!$D$50</definedName>
    <definedName name="hero.shaman.stage1">'pictures-heroes'!$B$50</definedName>
    <definedName name="hero.shaman.stage2">'pictures-heroes'!$C$50</definedName>
    <definedName name="hero.siren.stage0">'pictures-heroes'!$D$51</definedName>
    <definedName name="hero.siren.stage1">'pictures-heroes'!$B$51</definedName>
    <definedName name="hero.siren.stage2">'pictures-heroes'!$C$51</definedName>
    <definedName name="hero.skullknight.stage0">'pictures-heroes'!$D$52</definedName>
    <definedName name="hero.skullknight.stage1">'pictures-heroes'!$B$52</definedName>
    <definedName name="hero.skullknight.stage2">'pictures-heroes'!$C$52</definedName>
    <definedName name="hero.snowzilla.stage0">'pictures-heroes'!$D$53</definedName>
    <definedName name="hero.snowzilla.stage1">'pictures-heroes'!$B$53</definedName>
    <definedName name="hero.snowzilla.stage2">'pictures-heroes'!$C$53</definedName>
    <definedName name="hero.spiritmage.stage0">'pictures-heroes'!$D$54</definedName>
    <definedName name="hero.spiritmage.stage1">'pictures-heroes'!$B$54</definedName>
    <definedName name="hero.spiritmage.stage2">'pictures-heroes'!$C$54</definedName>
    <definedName name="hero.succubus.stage0">'pictures-heroes'!$D$55</definedName>
    <definedName name="hero.succubus.stage1">'pictures-heroes'!$B$55</definedName>
    <definedName name="hero.succubus.stage2">'pictures-heroes'!$C$55</definedName>
    <definedName name="hero.thundergod.stage0">'pictures-heroes'!$D$56</definedName>
    <definedName name="hero.thundergod.stage1">'pictures-heroes'!$B$56</definedName>
    <definedName name="hero.thundergod.stage2">'pictures-heroes'!$C$56</definedName>
    <definedName name="hero.treantaur.stage0">'pictures-heroes'!$D$57</definedName>
    <definedName name="hero.treantaur.stage1">'pictures-heroes'!$B$57</definedName>
    <definedName name="hero.treantaur.stage2">'pictures-heroes'!$C$57</definedName>
    <definedName name="hero.triton.stage0">'pictures-heroes'!$D$58</definedName>
    <definedName name="hero.triton.stage1">'pictures-heroes'!$B$58</definedName>
    <definedName name="hero.triton.stage2">'pictures-heroes'!$C$58</definedName>
    <definedName name="hero.trixietreat.stage0">'pictures-heroes'!$D$59</definedName>
    <definedName name="hero.trixietreat.stage1">'pictures-heroes'!$B$59</definedName>
    <definedName name="hero.trixietreat.stage2">'pictures-heroes'!$C$59</definedName>
    <definedName name="hero.valentina.stage0">'pictures-heroes'!$D$60</definedName>
    <definedName name="hero.valentina.stage1">'pictures-heroes'!$B$60</definedName>
    <definedName name="hero.valentina.stage2">'pictures-heroes'!$C$60</definedName>
    <definedName name="hero.vladdracula.stage0">'pictures-heroes'!$D$61</definedName>
    <definedName name="hero.vladdracula.stage1">'pictures-heroes'!$B$61</definedName>
    <definedName name="hero.vladdracula.stage2">'pictures-heroes'!$C$61</definedName>
    <definedName name="hero.warlock.stage0">'pictures-heroes'!$D$62</definedName>
    <definedName name="hero.warlock.stage1">'pictures-heroes'!$B$62</definedName>
    <definedName name="hero.warlock.stage2">'pictures-heroes'!$C$62</definedName>
    <definedName name="hero.werewolf.stage0">'pictures-heroes'!$D$63</definedName>
    <definedName name="hero.werewolf.stage1">'pictures-heroes'!$B$63</definedName>
    <definedName name="hero.werewolf.stage2">'pictures-heroes'!$C$63</definedName>
    <definedName name="skill.alchemist">'pictures-skill'!$B$2</definedName>
    <definedName name="skill.angel">'pictures-skill'!$B$3</definedName>
    <definedName name="skill.anubis">'pictures-skill'!$B$4</definedName>
    <definedName name="skill.arctica">'pictures-skill'!$B$5</definedName>
    <definedName name="skill.aries">'pictures-skill'!$B$6</definedName>
    <definedName name="skill.assassin">'pictures-skill'!$B$7</definedName>
    <definedName name="skill.atlanticore">'pictures-skill'!$B$8</definedName>
    <definedName name="skill.beasttamer">'pictures-skill'!$B$9</definedName>
    <definedName name="skill.candykane">'pictures-skill'!$B$10</definedName>
    <definedName name="skill.champion">'pictures-skill'!$B$11</definedName>
    <definedName name="skill.cupid">'pictures-skill'!$B$12</definedName>
    <definedName name="skill.cyclops">'pictures-skill'!$B$13</definedName>
    <definedName name="skill.deathknight">'pictures-skill'!$B$14</definedName>
    <definedName name="skill.demogorgon">'pictures-skill'!$B$15</definedName>
    <definedName name="skill.destroyer">'pictures-skill'!$B$16</definedName>
    <definedName name="skill.dracax">'pictures-skill'!$B$17</definedName>
    <definedName name="skill.dreaddrake">'pictures-skill'!$B$18</definedName>
    <definedName name="skill.druid">'pictures-skill'!$B$19</definedName>
    <definedName name="skill.dryad">'pictures-skill'!$B$20</definedName>
    <definedName name="skill.engineer">'pictures-skill'!$B$21</definedName>
    <definedName name="skill.executioner">'pictures-skill'!$B$22</definedName>
    <definedName name="skill.frostwitch">'pictures-skill'!$B$23</definedName>
    <definedName name="skill.ghoulem">'pictures-skill'!$B$24</definedName>
    <definedName name="skill.grimfiend">'pictures-skill'!$B$25</definedName>
    <definedName name="skill.grizzlyreaper">'pictures-skill'!$B$26</definedName>
    <definedName name="skill.harpyqueen">'pictures-skill'!$B$27</definedName>
    <definedName name="skill.heartbreaker">'pictures-skill'!$B$28</definedName>
    <definedName name="skill.hillgiant">'pictures-skill'!$B$29</definedName>
    <definedName name="skill.icedemon">'pictures-skill'!$B$30</definedName>
    <definedName name="skill.immortep">'pictures-skill'!$B$31</definedName>
    <definedName name="skill.ladyleo">'pictures-skill'!$B$32</definedName>
    <definedName name="skill.lilnick">'pictures-skill'!$B$33</definedName>
    <definedName name="skill.marauder">'pictures-skill'!$B$34</definedName>
    <definedName name="skill.marksman">'pictures-skill'!$B$35</definedName>
    <definedName name="skill.medusa">'pictures-skill'!$B$36</definedName>
    <definedName name="skill.michael">'pictures-skill'!$B$37</definedName>
    <definedName name="skill.minotaurchieftain">'pictures-skill'!$B$38</definedName>
    <definedName name="skill.moltanica">'pictures-skill'!$B$39</definedName>
    <definedName name="skill.ninja">'pictures-skill'!$B$40</definedName>
    <definedName name="skill.orksbane">'pictures-skill'!$B$41</definedName>
    <definedName name="skill.painda">'pictures-skill'!$B$42</definedName>
    <definedName name="skill.paladin">'pictures-skill'!$B$43</definedName>
    <definedName name="skill.phantomking">'pictures-skill'!$B$44</definedName>
    <definedName name="skill.pixie">'pictures-skill'!$B$45</definedName>
    <definedName name="skill.pumpkinduke">'pictures-skill'!$B$46</definedName>
    <definedName name="skill.revenant">'pictures-skill'!$B$47</definedName>
    <definedName name="skill.santaboom">'pictures-skill'!$B$48</definedName>
    <definedName name="skill.serpentqueen">'pictures-skill'!$B$49</definedName>
    <definedName name="skill.shaman">'pictures-skill'!$B$50</definedName>
    <definedName name="skill.siren">'pictures-skill'!$B$51</definedName>
    <definedName name="skill.skullknight">'pictures-skill'!$B$52</definedName>
    <definedName name="skill.snowzilla">'pictures-skill'!$B$53</definedName>
    <definedName name="skill.spiritmage">'pictures-skill'!$B$54</definedName>
    <definedName name="skill.succubus">'pictures-skill'!$B$55</definedName>
    <definedName name="skill.thundergod">'pictures-skill'!$B$56</definedName>
    <definedName name="skill.treantaur">'pictures-skill'!$B$57</definedName>
    <definedName name="skill.triton">'pictures-skill'!$B$58</definedName>
    <definedName name="skill.trixietreat">'pictures-skill'!$B$59</definedName>
    <definedName name="skill.valentina">'pictures-skill'!$B$60</definedName>
    <definedName name="skill.vladdracula">'pictures-skill'!$B$61</definedName>
    <definedName name="skill.warlock">'pictures-skill'!$B$62</definedName>
    <definedName name="skill.werewolf">'pictures-skill'!$B$63</definedName>
    <definedName name="talent1.berserk">'pictures-talent1'!$B$2</definedName>
    <definedName name="talent1.bladeshell">'pictures-talent1'!$B$3</definedName>
    <definedName name="talent1.bulwark">'pictures-talent1'!$B$4</definedName>
    <definedName name="talent1.condemnation">'pictures-talent1'!$B$5</definedName>
    <definedName name="talent1.corrode">'pictures-talent1'!$B$6</definedName>
    <definedName name="talent1.deadlystrike">'pictures-talent1'!$B$7</definedName>
    <definedName name="talent1.empty">'pictures-talent1'!$B$23</definedName>
    <definedName name="talent1.enlighten">'pictures-talent1'!$B$8</definedName>
    <definedName name="talent1.flameguard">'pictures-talent1'!$B$9</definedName>
    <definedName name="talent1.heavenswrath">'pictures-talent1'!$B$10</definedName>
    <definedName name="talent1.heavyblow">'pictures-talent1'!$B$11</definedName>
    <definedName name="talent1.lifedrain">'pictures-talent1'!$B$12</definedName>
    <definedName name="talent1.revitalize">'pictures-talent1'!$B$13</definedName>
    <definedName name="talent1.revive">'pictures-talent1'!$B$14</definedName>
    <definedName name="talent1.scatter">'pictures-talent1'!$B$15</definedName>
    <definedName name="talent1.scorch">'pictures-talent1'!$B$16</definedName>
    <definedName name="talent1.selfdestruct">'pictures-talent1'!$B$17</definedName>
    <definedName name="talent1.slowdown">'pictures-talent1'!$B$18</definedName>
    <definedName name="talent1.sprint">'pictures-talent1'!$B$19</definedName>
    <definedName name="talent1.stoneskin">'pictures-talent1'!$B$20</definedName>
    <definedName name="talent1.tenacity">'pictures-talent1'!$B$21</definedName>
    <definedName name="talent1.wargod">'pictures-talent1'!$B$22</definedName>
    <definedName name="talent2.arctica">'pictures-talent2'!$B$2</definedName>
    <definedName name="talent2.beasttamer">'pictures-talent2'!$B$3</definedName>
    <definedName name="talent2.candykane">'pictures-talent2'!$B$4</definedName>
    <definedName name="talent2.deathknight">'pictures-talent2'!$B$5</definedName>
    <definedName name="talent2.destroyer">'pictures-talent2'!$B$6</definedName>
    <definedName name="talent2.dracax">'pictures-talent2'!$B$7</definedName>
    <definedName name="talent2.dreaddrake">'pictures-talent2'!$B$8</definedName>
    <definedName name="talent2.empty">'pictures-talent2'!$B$17</definedName>
    <definedName name="talent2.grimfiend">'pictures-talent2'!$B$9</definedName>
    <definedName name="talent2.harpyqueen">'pictures-talent2'!$B$10</definedName>
    <definedName name="talent2.ladyleo">'pictures-talent2'!$B$11</definedName>
    <definedName name="talent2.phantomking">'pictures-talent2'!$B$12</definedName>
    <definedName name="talent2.pixie">'pictures-talent2'!$B$13</definedName>
    <definedName name="talent2.santaboom">'pictures-talent2'!$B$14</definedName>
    <definedName name="talent2.skullknight">'pictures-talent2'!$B$15</definedName>
    <definedName name="talent2.trixietreat">'pictures-talent2'!$B$16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J2" i="14"/>
  <c r="J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B23" i="34"/>
  <c r="G23" i="34" s="1"/>
  <c r="B22" i="34"/>
  <c r="G22" i="34" s="1"/>
  <c r="B21" i="34"/>
  <c r="D21" i="34" s="1"/>
  <c r="B20" i="34"/>
  <c r="F20" i="34" s="1"/>
  <c r="B19" i="34"/>
  <c r="E19" i="34" s="1"/>
  <c r="B18" i="34"/>
  <c r="E18" i="34" s="1"/>
  <c r="G4" i="34"/>
  <c r="G5" i="34"/>
  <c r="G6" i="34"/>
  <c r="G7" i="34"/>
  <c r="G8" i="34"/>
  <c r="G9" i="34"/>
  <c r="G10" i="34"/>
  <c r="G11" i="34"/>
  <c r="G12" i="34"/>
  <c r="G13" i="34"/>
  <c r="G14" i="34"/>
  <c r="G15" i="34"/>
  <c r="G16" i="34"/>
  <c r="G17" i="34"/>
  <c r="G21"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3" i="34"/>
  <c r="D9" i="34"/>
  <c r="E9" i="34"/>
  <c r="D10" i="34"/>
  <c r="E10" i="34"/>
  <c r="D11" i="34"/>
  <c r="E11" i="34"/>
  <c r="D12" i="34"/>
  <c r="E12" i="34"/>
  <c r="D13" i="34"/>
  <c r="E13" i="34"/>
  <c r="D14" i="34"/>
  <c r="E14" i="34"/>
  <c r="D15" i="34"/>
  <c r="E15" i="34"/>
  <c r="D16" i="34"/>
  <c r="E16" i="34"/>
  <c r="D17" i="34"/>
  <c r="E17" i="34"/>
  <c r="D24" i="34"/>
  <c r="E24" i="34"/>
  <c r="D25" i="34"/>
  <c r="E25" i="34"/>
  <c r="D26" i="34"/>
  <c r="E26" i="34"/>
  <c r="D27" i="34"/>
  <c r="E27" i="34"/>
  <c r="D28" i="34"/>
  <c r="E28" i="34"/>
  <c r="D29" i="34"/>
  <c r="E29" i="34"/>
  <c r="D30" i="34"/>
  <c r="E30" i="34"/>
  <c r="D31" i="34"/>
  <c r="E31" i="34"/>
  <c r="D32" i="34"/>
  <c r="E32" i="34"/>
  <c r="D33" i="34"/>
  <c r="E33" i="34"/>
  <c r="D34" i="34"/>
  <c r="E34" i="34"/>
  <c r="D35" i="34"/>
  <c r="E35" i="34"/>
  <c r="D36" i="34"/>
  <c r="E36" i="34"/>
  <c r="D37" i="34"/>
  <c r="E37" i="34"/>
  <c r="D38" i="34"/>
  <c r="E38" i="34"/>
  <c r="D39" i="34"/>
  <c r="E39" i="34"/>
  <c r="D40" i="34"/>
  <c r="E40" i="34"/>
  <c r="D41" i="34"/>
  <c r="E41" i="34"/>
  <c r="D42" i="34"/>
  <c r="E42" i="34"/>
  <c r="D43" i="34"/>
  <c r="E43" i="34"/>
  <c r="D44" i="34"/>
  <c r="E44" i="34"/>
  <c r="D45" i="34"/>
  <c r="E45" i="34"/>
  <c r="D46" i="34"/>
  <c r="E46" i="34"/>
  <c r="D47" i="34"/>
  <c r="E47" i="34"/>
  <c r="D48" i="34"/>
  <c r="E48" i="34"/>
  <c r="D49" i="34"/>
  <c r="E49" i="34"/>
  <c r="D50" i="34"/>
  <c r="E50" i="34"/>
  <c r="D51" i="34"/>
  <c r="E51" i="34"/>
  <c r="F4" i="34"/>
  <c r="F5" i="34"/>
  <c r="F6" i="34"/>
  <c r="F7" i="34"/>
  <c r="F8" i="34"/>
  <c r="F9" i="34"/>
  <c r="F10" i="34"/>
  <c r="F11" i="34"/>
  <c r="F12" i="34"/>
  <c r="F13" i="34"/>
  <c r="F14" i="34"/>
  <c r="F15" i="34"/>
  <c r="F16" i="34"/>
  <c r="F17" i="34"/>
  <c r="F24" i="34"/>
  <c r="F25" i="34"/>
  <c r="F26" i="34"/>
  <c r="F27" i="34"/>
  <c r="F28" i="34"/>
  <c r="F29" i="34"/>
  <c r="F30" i="34"/>
  <c r="F31" i="34"/>
  <c r="F32" i="34"/>
  <c r="F33" i="34"/>
  <c r="F34" i="34"/>
  <c r="F35" i="34"/>
  <c r="F36" i="34"/>
  <c r="F37" i="34"/>
  <c r="F38" i="34"/>
  <c r="F39" i="34"/>
  <c r="F40" i="34"/>
  <c r="F41" i="34"/>
  <c r="F42" i="34"/>
  <c r="F43" i="34"/>
  <c r="F44" i="34"/>
  <c r="F45" i="34"/>
  <c r="F46" i="34"/>
  <c r="F47" i="34"/>
  <c r="F48" i="34"/>
  <c r="F49" i="34"/>
  <c r="F50" i="34"/>
  <c r="F51" i="34"/>
  <c r="F3" i="34"/>
  <c r="E4" i="34"/>
  <c r="E5" i="34"/>
  <c r="E6" i="34"/>
  <c r="E7" i="34"/>
  <c r="E8" i="34"/>
  <c r="E3" i="34"/>
  <c r="D4" i="34"/>
  <c r="D7" i="34"/>
  <c r="B28" i="35"/>
  <c r="B29" i="35" s="1"/>
  <c r="B30" i="35" s="1"/>
  <c r="B31" i="35" s="1"/>
  <c r="B32" i="35" s="1"/>
  <c r="B33" i="35" s="1"/>
  <c r="B34" i="35" s="1"/>
  <c r="B35" i="35" s="1"/>
  <c r="B36" i="35" s="1"/>
  <c r="B37" i="35" s="1"/>
  <c r="B38" i="35" s="1"/>
  <c r="B39" i="35" s="1"/>
  <c r="B40" i="35" s="1"/>
  <c r="B41" i="35" s="1"/>
  <c r="B42" i="35" s="1"/>
  <c r="B43" i="35" s="1"/>
  <c r="B44" i="35" s="1"/>
  <c r="B45" i="35" s="1"/>
  <c r="B46" i="35" s="1"/>
  <c r="B47" i="35" s="1"/>
  <c r="B48" i="35" s="1"/>
  <c r="B49" i="35" s="1"/>
  <c r="B50" i="35" s="1"/>
  <c r="B51" i="35" s="1"/>
  <c r="B3" i="35"/>
  <c r="B4" i="35" s="1"/>
  <c r="B5" i="35" s="1"/>
  <c r="B6" i="35" s="1"/>
  <c r="B7" i="35" s="1"/>
  <c r="B8" i="35" s="1"/>
  <c r="B9" i="35" s="1"/>
  <c r="B10" i="35" s="1"/>
  <c r="B11" i="35" s="1"/>
  <c r="B12" i="35" s="1"/>
  <c r="B13" i="35" s="1"/>
  <c r="B14" i="35" s="1"/>
  <c r="B15" i="35" s="1"/>
  <c r="B16" i="35" s="1"/>
  <c r="B17" i="35" s="1"/>
  <c r="B18" i="35" s="1"/>
  <c r="B19" i="35" s="1"/>
  <c r="B20" i="35" s="1"/>
  <c r="B21" i="35" s="1"/>
  <c r="B22" i="35" s="1"/>
  <c r="B23" i="35" s="1"/>
  <c r="B24" i="35" s="1"/>
  <c r="B25" i="35" s="1"/>
  <c r="B26" i="35" s="1"/>
  <c r="N2" i="1"/>
  <c r="O2" i="1" s="1"/>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I5" i="33" l="1"/>
  <c r="G4" i="33"/>
  <c r="E3" i="33"/>
  <c r="I4" i="33"/>
  <c r="H5" i="33"/>
  <c r="F4" i="33"/>
  <c r="D3" i="33"/>
  <c r="F3" i="33"/>
  <c r="G5" i="33"/>
  <c r="E4" i="33"/>
  <c r="C3" i="33"/>
  <c r="G3" i="33"/>
  <c r="F5" i="33"/>
  <c r="D4" i="33"/>
  <c r="C5" i="33"/>
  <c r="H3" i="33"/>
  <c r="E5" i="33"/>
  <c r="I3" i="33"/>
  <c r="C4" i="33"/>
  <c r="D5" i="33"/>
  <c r="H4" i="33"/>
  <c r="F23" i="34"/>
  <c r="E23" i="34"/>
  <c r="F22" i="34"/>
  <c r="D23" i="34"/>
  <c r="D22" i="34"/>
  <c r="E22" i="34"/>
  <c r="E21" i="34"/>
  <c r="F21" i="34"/>
  <c r="G19" i="34"/>
  <c r="F19" i="34"/>
  <c r="J9" i="34" s="1"/>
  <c r="D19" i="34"/>
  <c r="E20" i="34"/>
  <c r="J6" i="34" s="1"/>
  <c r="J7" i="34" s="1"/>
  <c r="G20" i="34"/>
  <c r="D20" i="34"/>
  <c r="F18" i="34"/>
  <c r="D18" i="34"/>
  <c r="G18" i="34"/>
  <c r="J10" i="34" s="1"/>
  <c r="D3" i="34"/>
  <c r="D8" i="34"/>
  <c r="D6" i="34"/>
  <c r="D5" i="34"/>
  <c r="AD43" i="32"/>
  <c r="AE43" i="32"/>
  <c r="AF43" i="32" s="1"/>
  <c r="AI43" i="32" s="1"/>
  <c r="AG43" i="32"/>
  <c r="AH43" i="32" s="1"/>
  <c r="AD44" i="32"/>
  <c r="AE44" i="32"/>
  <c r="AG44" i="32"/>
  <c r="AH44" i="32" s="1"/>
  <c r="J2" i="34" l="1"/>
  <c r="J3" i="34" s="1"/>
  <c r="AF44" i="32"/>
  <c r="AI44" i="32" s="1"/>
  <c r="M43" i="1"/>
  <c r="M47" i="1"/>
  <c r="M48" i="1"/>
  <c r="M49" i="1"/>
  <c r="M50" i="1"/>
  <c r="M51" i="1"/>
  <c r="M44" i="1"/>
  <c r="M45" i="1"/>
  <c r="M46" i="1"/>
  <c r="M52" i="1"/>
  <c r="M54" i="1"/>
  <c r="M55" i="1"/>
  <c r="M56" i="1"/>
  <c r="M57" i="1"/>
  <c r="M58" i="1"/>
  <c r="M53" i="1"/>
  <c r="M59" i="1"/>
  <c r="M60" i="1"/>
  <c r="M61" i="1"/>
  <c r="M62" i="1"/>
  <c r="M63" i="1"/>
  <c r="M64" i="1"/>
  <c r="M65" i="1"/>
  <c r="M66" i="1"/>
  <c r="M67" i="1"/>
  <c r="M68" i="1"/>
  <c r="M69" i="1"/>
  <c r="M70" i="1"/>
  <c r="M71" i="1"/>
  <c r="M72" i="1"/>
  <c r="M73" i="1"/>
  <c r="M74" i="1"/>
  <c r="M75" i="1"/>
  <c r="M76" i="1"/>
  <c r="M77" i="1"/>
  <c r="M78" i="1"/>
  <c r="L43" i="1"/>
  <c r="L47" i="1"/>
  <c r="L48" i="1"/>
  <c r="L49" i="1"/>
  <c r="L50" i="1"/>
  <c r="L51" i="1"/>
  <c r="L44" i="1"/>
  <c r="L45" i="1"/>
  <c r="L46" i="1"/>
  <c r="L52" i="1"/>
  <c r="L54" i="1"/>
  <c r="L55" i="1"/>
  <c r="L56" i="1"/>
  <c r="L57" i="1"/>
  <c r="L58" i="1"/>
  <c r="L53" i="1"/>
  <c r="L59" i="1"/>
  <c r="L60" i="1"/>
  <c r="L61" i="1"/>
  <c r="L62" i="1"/>
  <c r="L63" i="1"/>
  <c r="L64" i="1"/>
  <c r="L65" i="1"/>
  <c r="L66" i="1"/>
  <c r="L67" i="1"/>
  <c r="L68" i="1"/>
  <c r="L69" i="1"/>
  <c r="L70" i="1"/>
  <c r="L71" i="1"/>
  <c r="L72" i="1"/>
  <c r="L73" i="1"/>
  <c r="L74" i="1"/>
  <c r="L75" i="1"/>
  <c r="L76" i="1"/>
  <c r="L77" i="1"/>
  <c r="L78" i="1"/>
  <c r="J79" i="1"/>
  <c r="H79" i="1"/>
  <c r="G79" i="1"/>
  <c r="E79" i="1"/>
  <c r="C79" i="1"/>
  <c r="A79" i="1"/>
  <c r="AG5" i="32"/>
  <c r="AH5" i="32" s="1"/>
  <c r="L10" i="1" s="1"/>
  <c r="AG6" i="32"/>
  <c r="AH6" i="32" s="1"/>
  <c r="L15" i="1" s="1"/>
  <c r="AG7" i="32"/>
  <c r="AH7" i="32" s="1"/>
  <c r="L29" i="1" s="1"/>
  <c r="AG8" i="32"/>
  <c r="AH8" i="32" s="1"/>
  <c r="L41" i="1" s="1"/>
  <c r="AG9" i="32"/>
  <c r="AH9" i="32" s="1"/>
  <c r="L37" i="1" s="1"/>
  <c r="AG10" i="32"/>
  <c r="AH10" i="32" s="1"/>
  <c r="L19" i="1" s="1"/>
  <c r="AG11" i="32"/>
  <c r="AH11" i="32" s="1"/>
  <c r="L39" i="1" s="1"/>
  <c r="AG12" i="32"/>
  <c r="AH12" i="32" s="1"/>
  <c r="L42" i="1" s="1"/>
  <c r="AG13" i="32"/>
  <c r="AH13" i="32" s="1"/>
  <c r="L2" i="1" s="1"/>
  <c r="AG14" i="32"/>
  <c r="AH14" i="32" s="1"/>
  <c r="L25" i="1" s="1"/>
  <c r="AG15" i="32"/>
  <c r="AH15" i="32" s="1"/>
  <c r="L7" i="1" s="1"/>
  <c r="AG16" i="32"/>
  <c r="AH16" i="32" s="1"/>
  <c r="L6" i="1" s="1"/>
  <c r="AG17" i="32"/>
  <c r="AH17" i="32" s="1"/>
  <c r="L4" i="1" s="1"/>
  <c r="AG18" i="32"/>
  <c r="AH18" i="32" s="1"/>
  <c r="L16" i="1" s="1"/>
  <c r="AG19" i="32"/>
  <c r="AH19" i="32" s="1"/>
  <c r="L23" i="1" s="1"/>
  <c r="AG20" i="32"/>
  <c r="AH20" i="32" s="1"/>
  <c r="L38" i="1" s="1"/>
  <c r="AG21" i="32"/>
  <c r="AH21" i="32" s="1"/>
  <c r="L22" i="1" s="1"/>
  <c r="AG22" i="32"/>
  <c r="AH22" i="32" s="1"/>
  <c r="L33" i="1" s="1"/>
  <c r="AG23" i="32"/>
  <c r="AH23" i="32" s="1"/>
  <c r="L30" i="1" s="1"/>
  <c r="AG24" i="32"/>
  <c r="AH24" i="32" s="1"/>
  <c r="L27" i="1" s="1"/>
  <c r="AG25" i="32"/>
  <c r="AH25" i="32" s="1"/>
  <c r="L35" i="1" s="1"/>
  <c r="AG26" i="32"/>
  <c r="AH26" i="32" s="1"/>
  <c r="L40" i="1" s="1"/>
  <c r="AG27" i="32"/>
  <c r="AH27" i="32" s="1"/>
  <c r="L34" i="1" s="1"/>
  <c r="AG28" i="32"/>
  <c r="AH28" i="32" s="1"/>
  <c r="L14" i="1" s="1"/>
  <c r="AG29" i="32"/>
  <c r="AH29" i="32" s="1"/>
  <c r="L21" i="1" s="1"/>
  <c r="AG30" i="32"/>
  <c r="AH30" i="32" s="1"/>
  <c r="L5" i="1" s="1"/>
  <c r="AG31" i="32"/>
  <c r="AH31" i="32" s="1"/>
  <c r="L32" i="1" s="1"/>
  <c r="AG32" i="32"/>
  <c r="AH32" i="32" s="1"/>
  <c r="AG33" i="32"/>
  <c r="AH33" i="32" s="1"/>
  <c r="L17" i="1" s="1"/>
  <c r="AG34" i="32"/>
  <c r="AH34" i="32" s="1"/>
  <c r="L28" i="1" s="1"/>
  <c r="AG35" i="32"/>
  <c r="AH35" i="32" s="1"/>
  <c r="L13" i="1" s="1"/>
  <c r="AG36" i="32"/>
  <c r="AH36" i="32" s="1"/>
  <c r="L8" i="1" s="1"/>
  <c r="AG37" i="32"/>
  <c r="AH37" i="32" s="1"/>
  <c r="L36" i="1" s="1"/>
  <c r="AG38" i="32"/>
  <c r="AH38" i="32" s="1"/>
  <c r="L24" i="1" s="1"/>
  <c r="AG39" i="32"/>
  <c r="AH39" i="32" s="1"/>
  <c r="L12" i="1" s="1"/>
  <c r="AG40" i="32"/>
  <c r="AH40" i="32" s="1"/>
  <c r="L31" i="1" s="1"/>
  <c r="AG41" i="32"/>
  <c r="AH41" i="32" s="1"/>
  <c r="L20" i="1" s="1"/>
  <c r="AG42" i="32"/>
  <c r="AH42" i="32" s="1"/>
  <c r="L11" i="1" s="1"/>
  <c r="L9" i="1"/>
  <c r="L18" i="1"/>
  <c r="AG45" i="32"/>
  <c r="AH45" i="32" s="1"/>
  <c r="L3" i="1" s="1"/>
  <c r="AG46" i="32"/>
  <c r="AH46" i="32" s="1"/>
  <c r="AG47" i="32"/>
  <c r="AH47" i="32" s="1"/>
  <c r="L26" i="1" s="1"/>
  <c r="AG48" i="32"/>
  <c r="AH48" i="32" s="1"/>
  <c r="AG49" i="32"/>
  <c r="AH49" i="32" s="1"/>
  <c r="AG4" i="32"/>
  <c r="AH4" i="32" s="1"/>
  <c r="AE45" i="32"/>
  <c r="AE46" i="32"/>
  <c r="AE47" i="32"/>
  <c r="AE48" i="32"/>
  <c r="AE49" i="32"/>
  <c r="AD49" i="32"/>
  <c r="AD48" i="32"/>
  <c r="AD47" i="32"/>
  <c r="AD46" i="32"/>
  <c r="AD45" i="32"/>
  <c r="AE15" i="32"/>
  <c r="AE16" i="32"/>
  <c r="AE17" i="32"/>
  <c r="AE18" i="32"/>
  <c r="AE19" i="32"/>
  <c r="AE20" i="32"/>
  <c r="AE21" i="32"/>
  <c r="AE22" i="32"/>
  <c r="AE23" i="32"/>
  <c r="AE24" i="32"/>
  <c r="AE25" i="32"/>
  <c r="AE26" i="32"/>
  <c r="AE27" i="32"/>
  <c r="AE28" i="32"/>
  <c r="AE29" i="32"/>
  <c r="AE30" i="32"/>
  <c r="AE31" i="32"/>
  <c r="AE32" i="32"/>
  <c r="AE33" i="32"/>
  <c r="AE34" i="32"/>
  <c r="AE35" i="32"/>
  <c r="AE36" i="32"/>
  <c r="AE37" i="32"/>
  <c r="AE38" i="32"/>
  <c r="AE39" i="32"/>
  <c r="AE40" i="32"/>
  <c r="AE41" i="32"/>
  <c r="AE42" i="32"/>
  <c r="AE5" i="32"/>
  <c r="AE6" i="32"/>
  <c r="AE7" i="32"/>
  <c r="AE8" i="32"/>
  <c r="AE9" i="32"/>
  <c r="AE10" i="32"/>
  <c r="AE11" i="32"/>
  <c r="AE12" i="32"/>
  <c r="AE13" i="32"/>
  <c r="AE14" i="32"/>
  <c r="AE4" i="32"/>
  <c r="AD32" i="32"/>
  <c r="B76" i="1"/>
  <c r="P76" i="1"/>
  <c r="AD42" i="32"/>
  <c r="AD41" i="32"/>
  <c r="AD40" i="32"/>
  <c r="AD39" i="32"/>
  <c r="AD38" i="32"/>
  <c r="AD37" i="32"/>
  <c r="AD36" i="32"/>
  <c r="AD35" i="32"/>
  <c r="AD34" i="32"/>
  <c r="AD33" i="32"/>
  <c r="AD31" i="32"/>
  <c r="AD30" i="32"/>
  <c r="AD29" i="32"/>
  <c r="AD28" i="32"/>
  <c r="AD27" i="32"/>
  <c r="AD26" i="32"/>
  <c r="AD25" i="32"/>
  <c r="AD24" i="32"/>
  <c r="AD23" i="32"/>
  <c r="AD22" i="32"/>
  <c r="AD21" i="32"/>
  <c r="AD20" i="32"/>
  <c r="AD19" i="32"/>
  <c r="AD18" i="32"/>
  <c r="AD17" i="32"/>
  <c r="AD16" i="32"/>
  <c r="AD15" i="32"/>
  <c r="AD14" i="32"/>
  <c r="AD13" i="32"/>
  <c r="AD12" i="32"/>
  <c r="AD11" i="32"/>
  <c r="AD10" i="32"/>
  <c r="AD9" i="32"/>
  <c r="AD8" i="32"/>
  <c r="AD7" i="32"/>
  <c r="AD6" i="32"/>
  <c r="AD5" i="32"/>
  <c r="AD4" i="32"/>
  <c r="L79" i="1" l="1"/>
  <c r="Q12" i="32"/>
  <c r="Q34" i="32"/>
  <c r="Q2" i="32"/>
  <c r="Q44" i="32"/>
  <c r="M18" i="1"/>
  <c r="AF45" i="32"/>
  <c r="AI45" i="32" s="1"/>
  <c r="M3" i="1" s="1"/>
  <c r="AF49" i="32"/>
  <c r="I42" i="32" s="1"/>
  <c r="AF48" i="32"/>
  <c r="F42" i="32" s="1"/>
  <c r="AF46" i="32"/>
  <c r="I38" i="32" s="1"/>
  <c r="AF47" i="32"/>
  <c r="C42" i="32" s="1"/>
  <c r="AF4" i="32"/>
  <c r="AF7" i="32"/>
  <c r="AF38" i="32"/>
  <c r="AF30" i="32"/>
  <c r="AF22" i="32"/>
  <c r="AF14" i="32"/>
  <c r="AF6" i="32"/>
  <c r="AF29" i="32"/>
  <c r="AF27" i="32"/>
  <c r="AF19" i="32"/>
  <c r="AF37" i="32"/>
  <c r="AF21" i="32"/>
  <c r="AF13" i="32"/>
  <c r="AF5" i="32"/>
  <c r="AF36" i="32"/>
  <c r="AF28" i="32"/>
  <c r="AF20" i="32"/>
  <c r="AF35" i="32"/>
  <c r="AF42" i="32"/>
  <c r="AF26" i="32"/>
  <c r="AF10" i="32"/>
  <c r="AF41" i="32"/>
  <c r="AF33" i="32"/>
  <c r="AF25" i="32"/>
  <c r="AF17" i="32"/>
  <c r="AF12" i="32"/>
  <c r="AF11" i="32"/>
  <c r="AF34" i="32"/>
  <c r="AF18" i="32"/>
  <c r="AF9" i="32"/>
  <c r="AF40" i="32"/>
  <c r="AF32" i="32"/>
  <c r="AF24" i="32"/>
  <c r="AF16" i="32"/>
  <c r="AF8" i="32"/>
  <c r="AF39" i="32"/>
  <c r="AF31" i="32"/>
  <c r="AF23" i="32"/>
  <c r="AF15" i="32"/>
  <c r="I78" i="13"/>
  <c r="H78" i="13"/>
  <c r="G78" i="13"/>
  <c r="F78" i="13"/>
  <c r="E78" i="13"/>
  <c r="E44" i="13"/>
  <c r="E46" i="13"/>
  <c r="E48" i="13"/>
  <c r="E50" i="13"/>
  <c r="E52" i="13"/>
  <c r="E54" i="13"/>
  <c r="E56" i="13"/>
  <c r="E58" i="13"/>
  <c r="E60" i="13"/>
  <c r="E62" i="13"/>
  <c r="E64" i="13"/>
  <c r="E66" i="13"/>
  <c r="E68" i="13"/>
  <c r="E70" i="13"/>
  <c r="E72" i="13"/>
  <c r="E74" i="13"/>
  <c r="F44" i="13"/>
  <c r="F46" i="13"/>
  <c r="F48" i="13"/>
  <c r="F50" i="13"/>
  <c r="F52" i="13"/>
  <c r="F54" i="13"/>
  <c r="F56" i="13"/>
  <c r="F58" i="13"/>
  <c r="F60" i="13"/>
  <c r="F62" i="13"/>
  <c r="F64" i="13"/>
  <c r="F66" i="13"/>
  <c r="F68" i="13"/>
  <c r="F70" i="13"/>
  <c r="F72" i="13"/>
  <c r="F74" i="13"/>
  <c r="G44" i="13"/>
  <c r="G46" i="13"/>
  <c r="G48" i="13"/>
  <c r="G50" i="13"/>
  <c r="G52" i="13"/>
  <c r="G54" i="13"/>
  <c r="G56" i="13"/>
  <c r="G58" i="13"/>
  <c r="G60" i="13"/>
  <c r="G62" i="13"/>
  <c r="G64" i="13"/>
  <c r="G66" i="13"/>
  <c r="G68" i="13"/>
  <c r="G70" i="13"/>
  <c r="G72" i="13"/>
  <c r="G74" i="13"/>
  <c r="I44" i="13"/>
  <c r="I46" i="13"/>
  <c r="I48" i="13"/>
  <c r="I50" i="13"/>
  <c r="I52" i="13"/>
  <c r="I54" i="13"/>
  <c r="I56" i="13"/>
  <c r="I58" i="13"/>
  <c r="I60" i="13"/>
  <c r="I62" i="13"/>
  <c r="I64" i="13"/>
  <c r="I66" i="13"/>
  <c r="I68" i="13"/>
  <c r="I70" i="13"/>
  <c r="I72" i="13"/>
  <c r="I74" i="13"/>
  <c r="E76" i="13"/>
  <c r="F76" i="13"/>
  <c r="G76" i="13"/>
  <c r="I76" i="13"/>
  <c r="H44" i="13"/>
  <c r="H46" i="13"/>
  <c r="H48" i="13"/>
  <c r="H50" i="13"/>
  <c r="H52" i="13"/>
  <c r="H54" i="13"/>
  <c r="H56" i="13"/>
  <c r="H58" i="13"/>
  <c r="H60" i="13"/>
  <c r="H62" i="13"/>
  <c r="H64" i="13"/>
  <c r="H66" i="13"/>
  <c r="H68" i="13"/>
  <c r="H70" i="13"/>
  <c r="H72" i="13"/>
  <c r="H74" i="13"/>
  <c r="H76" i="13"/>
  <c r="C38" i="32" l="1"/>
  <c r="AI49" i="32"/>
  <c r="F38" i="32"/>
  <c r="AI48" i="32"/>
  <c r="AI46" i="32"/>
  <c r="AI47" i="32"/>
  <c r="M26" i="1" s="1"/>
  <c r="L10" i="32"/>
  <c r="AI34" i="32"/>
  <c r="M28" i="1" s="1"/>
  <c r="I16" i="32"/>
  <c r="AI10" i="32"/>
  <c r="M19" i="1" s="1"/>
  <c r="C32" i="32"/>
  <c r="AI22" i="32"/>
  <c r="M33" i="1" s="1"/>
  <c r="L24" i="32"/>
  <c r="AI8" i="32"/>
  <c r="M41" i="1" s="1"/>
  <c r="C20" i="32"/>
  <c r="AI26" i="32"/>
  <c r="M40" i="1" s="1"/>
  <c r="L20" i="32"/>
  <c r="M9" i="1"/>
  <c r="I6" i="32"/>
  <c r="AI37" i="32"/>
  <c r="M36" i="1" s="1"/>
  <c r="R6" i="32"/>
  <c r="AI38" i="32"/>
  <c r="M24" i="1" s="1"/>
  <c r="F32" i="32"/>
  <c r="AI24" i="32"/>
  <c r="M27" i="1" s="1"/>
  <c r="I28" i="32"/>
  <c r="AI12" i="32"/>
  <c r="M42" i="1" s="1"/>
  <c r="C24" i="32"/>
  <c r="AI35" i="32"/>
  <c r="M13" i="1" s="1"/>
  <c r="I32" i="32"/>
  <c r="AI19" i="32"/>
  <c r="M23" i="1" s="1"/>
  <c r="R24" i="32"/>
  <c r="AI7" i="32"/>
  <c r="M29" i="1" s="1"/>
  <c r="O20" i="32"/>
  <c r="AI39" i="32"/>
  <c r="M12" i="1" s="1"/>
  <c r="F24" i="32"/>
  <c r="AI13" i="32"/>
  <c r="M2" i="1" s="1"/>
  <c r="R16" i="32"/>
  <c r="AI11" i="32"/>
  <c r="M39" i="1" s="1"/>
  <c r="C28" i="32"/>
  <c r="AI21" i="32"/>
  <c r="M22" i="1" s="1"/>
  <c r="C16" i="32"/>
  <c r="AI30" i="32"/>
  <c r="M5" i="1" s="1"/>
  <c r="F28" i="32"/>
  <c r="AI16" i="32"/>
  <c r="M6" i="1" s="1"/>
  <c r="O16" i="32"/>
  <c r="AI42" i="32"/>
  <c r="M11" i="1" s="1"/>
  <c r="O32" i="32"/>
  <c r="AI32" i="32"/>
  <c r="C10" i="32"/>
  <c r="AI17" i="32"/>
  <c r="M4" i="1" s="1"/>
  <c r="I10" i="32"/>
  <c r="AI20" i="32"/>
  <c r="M38" i="1" s="1"/>
  <c r="C6" i="32"/>
  <c r="AI27" i="32"/>
  <c r="M34" i="1" s="1"/>
  <c r="L32" i="32"/>
  <c r="AI4" i="32"/>
  <c r="I24" i="32"/>
  <c r="AI15" i="32"/>
  <c r="M7" i="1" s="1"/>
  <c r="O28" i="32"/>
  <c r="AI40" i="32"/>
  <c r="M31" i="1" s="1"/>
  <c r="F6" i="32"/>
  <c r="AI25" i="32"/>
  <c r="M35" i="1" s="1"/>
  <c r="O10" i="32"/>
  <c r="AI28" i="32"/>
  <c r="M14" i="1" s="1"/>
  <c r="I20" i="32"/>
  <c r="AI29" i="32"/>
  <c r="M21" i="1" s="1"/>
  <c r="L28" i="32"/>
  <c r="AI23" i="32"/>
  <c r="M30" i="1" s="1"/>
  <c r="L6" i="32"/>
  <c r="AI9" i="32"/>
  <c r="M37" i="1" s="1"/>
  <c r="F20" i="32"/>
  <c r="AI33" i="32"/>
  <c r="M17" i="1" s="1"/>
  <c r="F16" i="32"/>
  <c r="AI36" i="32"/>
  <c r="M8" i="1" s="1"/>
  <c r="F10" i="32"/>
  <c r="AI6" i="32"/>
  <c r="M15" i="1" s="1"/>
  <c r="R28" i="32"/>
  <c r="AI31" i="32"/>
  <c r="M32" i="1" s="1"/>
  <c r="R20" i="32"/>
  <c r="AI18" i="32"/>
  <c r="M16" i="1" s="1"/>
  <c r="O24" i="32"/>
  <c r="AI41" i="32"/>
  <c r="M20" i="1" s="1"/>
  <c r="L16" i="32"/>
  <c r="AI5" i="32"/>
  <c r="M10" i="1" s="1"/>
  <c r="O6" i="32"/>
  <c r="AI14" i="32"/>
  <c r="M25" i="1" s="1"/>
  <c r="J78" i="13"/>
  <c r="J74" i="13"/>
  <c r="J58" i="13"/>
  <c r="J62" i="13"/>
  <c r="J60" i="13"/>
  <c r="J72" i="13"/>
  <c r="J56" i="13"/>
  <c r="J76" i="13"/>
  <c r="J70" i="13"/>
  <c r="J54" i="13"/>
  <c r="J48" i="13"/>
  <c r="J68" i="13"/>
  <c r="J52" i="13"/>
  <c r="J64" i="13"/>
  <c r="J46" i="13"/>
  <c r="J44" i="13"/>
  <c r="J66" i="13"/>
  <c r="J50" i="13"/>
  <c r="B70" i="26"/>
  <c r="C70" i="26"/>
  <c r="D70" i="26"/>
  <c r="E70" i="26"/>
  <c r="F70" i="26"/>
  <c r="B69" i="26"/>
  <c r="C69" i="26"/>
  <c r="D69" i="26"/>
  <c r="E69" i="26"/>
  <c r="F69" i="26"/>
  <c r="B68" i="26"/>
  <c r="C68" i="26"/>
  <c r="D68" i="26"/>
  <c r="E68" i="26"/>
  <c r="F68" i="26"/>
  <c r="B67" i="26"/>
  <c r="C67" i="26"/>
  <c r="D67" i="26"/>
  <c r="E67" i="26"/>
  <c r="F67" i="26"/>
  <c r="B66" i="26"/>
  <c r="C66" i="26"/>
  <c r="D66" i="26"/>
  <c r="E66" i="26"/>
  <c r="F66" i="26"/>
  <c r="B65" i="26"/>
  <c r="C65" i="26"/>
  <c r="D65" i="26"/>
  <c r="E65" i="26"/>
  <c r="F65" i="26"/>
  <c r="M79" i="1" l="1"/>
  <c r="N34" i="32"/>
  <c r="N2" i="32"/>
  <c r="N12" i="32"/>
  <c r="N44" i="32"/>
  <c r="B78" i="1"/>
  <c r="P78" i="1"/>
  <c r="B5" i="26"/>
  <c r="C5" i="26"/>
  <c r="D5" i="26"/>
  <c r="E5" i="26"/>
  <c r="F5" i="26"/>
  <c r="B77" i="1" l="1"/>
  <c r="P77" i="1"/>
  <c r="B2" i="1"/>
  <c r="B6" i="1"/>
  <c r="B8" i="1"/>
  <c r="B4" i="1"/>
  <c r="B10" i="1"/>
  <c r="B9" i="1"/>
  <c r="B11" i="1"/>
  <c r="B13" i="1"/>
  <c r="B7" i="1"/>
  <c r="B5" i="1"/>
  <c r="B19" i="1"/>
  <c r="B17" i="1"/>
  <c r="B22" i="1"/>
  <c r="B12" i="1"/>
  <c r="B24" i="1"/>
  <c r="B15" i="1"/>
  <c r="B25" i="1"/>
  <c r="B21" i="1"/>
  <c r="B20" i="1"/>
  <c r="B18" i="1"/>
  <c r="B16" i="1"/>
  <c r="B14" i="1"/>
  <c r="B34" i="1"/>
  <c r="B38" i="1"/>
  <c r="B39" i="1"/>
  <c r="B40" i="1"/>
  <c r="B35" i="1"/>
  <c r="B29" i="1"/>
  <c r="B36" i="1"/>
  <c r="B37" i="1"/>
  <c r="B28" i="1"/>
  <c r="B32" i="1"/>
  <c r="B42" i="1"/>
  <c r="B41" i="1"/>
  <c r="B27" i="1"/>
  <c r="B47" i="1"/>
  <c r="B43" i="1"/>
  <c r="B48" i="1"/>
  <c r="B49" i="1"/>
  <c r="B50" i="1"/>
  <c r="B51" i="1"/>
  <c r="B52" i="1"/>
  <c r="B54" i="1"/>
  <c r="B55" i="1"/>
  <c r="B56" i="1"/>
  <c r="B57" i="1"/>
  <c r="B58" i="1"/>
  <c r="B26" i="1"/>
  <c r="B33" i="1"/>
  <c r="B23" i="1"/>
  <c r="B45" i="1"/>
  <c r="B44" i="1"/>
  <c r="B3" i="1"/>
  <c r="B31" i="1"/>
  <c r="B30" i="1"/>
  <c r="B59" i="1"/>
  <c r="B53" i="1"/>
  <c r="B46" i="1"/>
  <c r="B60" i="1"/>
  <c r="B61" i="1"/>
  <c r="B62" i="1"/>
  <c r="B63" i="1"/>
  <c r="B64" i="1"/>
  <c r="B65" i="1"/>
  <c r="B66" i="1"/>
  <c r="B67" i="1"/>
  <c r="B68" i="1"/>
  <c r="B69" i="1"/>
  <c r="B70" i="1"/>
  <c r="B71" i="1"/>
  <c r="B72" i="1"/>
  <c r="B73" i="1"/>
  <c r="B74" i="1"/>
  <c r="B75" i="1"/>
  <c r="C3" i="26" l="1"/>
  <c r="C4"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B4"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3" i="26"/>
  <c r="F3" i="26"/>
  <c r="F4"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E3" i="26"/>
  <c r="E4" i="26"/>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V4" i="26" l="1"/>
  <c r="V5" i="26"/>
  <c r="V6" i="26"/>
  <c r="V7" i="26"/>
  <c r="V8" i="26"/>
  <c r="V9" i="26"/>
  <c r="V10" i="26"/>
  <c r="V11" i="26"/>
  <c r="AB11" i="26" s="1"/>
  <c r="V12" i="26"/>
  <c r="V13" i="26"/>
  <c r="V14" i="26"/>
  <c r="V15" i="26"/>
  <c r="V16" i="26"/>
  <c r="V17" i="26"/>
  <c r="V18" i="26"/>
  <c r="V19" i="26"/>
  <c r="AB19" i="26" s="1"/>
  <c r="V20" i="26"/>
  <c r="V21" i="26"/>
  <c r="V22" i="26"/>
  <c r="V23" i="26"/>
  <c r="V24" i="26"/>
  <c r="V25" i="26"/>
  <c r="V26" i="26"/>
  <c r="V27" i="26"/>
  <c r="AB27" i="26" s="1"/>
  <c r="V28" i="26"/>
  <c r="V29" i="26"/>
  <c r="V30" i="26"/>
  <c r="V31" i="26"/>
  <c r="V32" i="26"/>
  <c r="V33" i="26"/>
  <c r="V34" i="26"/>
  <c r="V35" i="26"/>
  <c r="V36" i="26"/>
  <c r="V37" i="26"/>
  <c r="V38" i="26"/>
  <c r="V39" i="26"/>
  <c r="V40" i="26"/>
  <c r="V41" i="26"/>
  <c r="V42" i="26"/>
  <c r="V43" i="26"/>
  <c r="V44" i="26"/>
  <c r="V45" i="26"/>
  <c r="V46" i="26"/>
  <c r="V47" i="26"/>
  <c r="V48" i="26"/>
  <c r="V49" i="26"/>
  <c r="V50" i="26"/>
  <c r="V51" i="26"/>
  <c r="V52" i="26"/>
  <c r="V53" i="26"/>
  <c r="V54" i="26"/>
  <c r="V55" i="26"/>
  <c r="V56" i="26"/>
  <c r="V57" i="26"/>
  <c r="V58" i="26"/>
  <c r="V59" i="26"/>
  <c r="V60" i="26"/>
  <c r="V61" i="26"/>
  <c r="V62" i="26"/>
  <c r="V63" i="26"/>
  <c r="V3" i="26"/>
  <c r="I4" i="26"/>
  <c r="I5" i="26"/>
  <c r="X5" i="26" s="1"/>
  <c r="I6" i="26"/>
  <c r="X6" i="26" s="1"/>
  <c r="I7" i="26"/>
  <c r="I8" i="26"/>
  <c r="I9" i="26"/>
  <c r="I10" i="26"/>
  <c r="I11" i="26"/>
  <c r="I12" i="26"/>
  <c r="I13" i="26"/>
  <c r="Y13" i="26" s="1"/>
  <c r="I14" i="26"/>
  <c r="I15" i="26"/>
  <c r="I16" i="26"/>
  <c r="I17" i="26"/>
  <c r="I18" i="26"/>
  <c r="I19" i="26"/>
  <c r="I20" i="26"/>
  <c r="I21" i="26"/>
  <c r="I22" i="26"/>
  <c r="I23" i="26"/>
  <c r="I24" i="26"/>
  <c r="I25" i="26"/>
  <c r="I26" i="26"/>
  <c r="I27" i="26"/>
  <c r="I28" i="26"/>
  <c r="I29" i="26"/>
  <c r="I30" i="26"/>
  <c r="I31" i="26"/>
  <c r="I32" i="26"/>
  <c r="I33" i="26"/>
  <c r="I34" i="26"/>
  <c r="I35" i="26"/>
  <c r="I36" i="26"/>
  <c r="I37" i="26"/>
  <c r="Y37" i="26" s="1"/>
  <c r="I38" i="26"/>
  <c r="I39" i="26"/>
  <c r="I40" i="26"/>
  <c r="I41" i="26"/>
  <c r="I42" i="26"/>
  <c r="I43" i="26"/>
  <c r="I44" i="26"/>
  <c r="I45" i="26"/>
  <c r="Z45" i="26" s="1"/>
  <c r="I46" i="26"/>
  <c r="I47" i="26"/>
  <c r="I48" i="26"/>
  <c r="I49" i="26"/>
  <c r="I50" i="26"/>
  <c r="I51" i="26"/>
  <c r="I52" i="26"/>
  <c r="I53" i="26"/>
  <c r="I54" i="26"/>
  <c r="I55" i="26"/>
  <c r="I56" i="26"/>
  <c r="I57" i="26"/>
  <c r="I58" i="26"/>
  <c r="I59" i="26"/>
  <c r="I60" i="26"/>
  <c r="I61" i="26"/>
  <c r="I62" i="26"/>
  <c r="I63" i="26"/>
  <c r="I3" i="26"/>
  <c r="D3" i="26"/>
  <c r="D4" i="26"/>
  <c r="D6" i="26"/>
  <c r="D7" i="26"/>
  <c r="D8" i="26"/>
  <c r="D9" i="26"/>
  <c r="D10" i="26"/>
  <c r="D11" i="26"/>
  <c r="D12" i="26"/>
  <c r="D13"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E3" i="25"/>
  <c r="G3" i="25"/>
  <c r="E4" i="25"/>
  <c r="I4" i="25" s="1"/>
  <c r="G4" i="25"/>
  <c r="E5" i="25"/>
  <c r="G5" i="25"/>
  <c r="I5" i="25"/>
  <c r="E6" i="25"/>
  <c r="G6" i="25"/>
  <c r="E7" i="25"/>
  <c r="I7" i="25" s="1"/>
  <c r="G7" i="25"/>
  <c r="E8" i="25"/>
  <c r="G8" i="25"/>
  <c r="I8" i="25"/>
  <c r="E9" i="25"/>
  <c r="G9" i="25"/>
  <c r="I9" i="25"/>
  <c r="E10" i="25"/>
  <c r="I10" i="25" s="1"/>
  <c r="G10" i="25"/>
  <c r="E11" i="25"/>
  <c r="G11" i="25"/>
  <c r="E12" i="25"/>
  <c r="G12" i="25"/>
  <c r="I12" i="25"/>
  <c r="E13" i="25"/>
  <c r="I13" i="25" s="1"/>
  <c r="G13" i="25"/>
  <c r="E14" i="25"/>
  <c r="G14" i="25"/>
  <c r="E15" i="25"/>
  <c r="G15" i="25"/>
  <c r="I15" i="25"/>
  <c r="E16" i="25"/>
  <c r="I16" i="25" s="1"/>
  <c r="G16" i="25"/>
  <c r="E17" i="25"/>
  <c r="G17" i="25"/>
  <c r="I17" i="25"/>
  <c r="E18" i="25"/>
  <c r="I18" i="25" s="1"/>
  <c r="G18" i="25"/>
  <c r="E19" i="25"/>
  <c r="I19" i="25" s="1"/>
  <c r="G19" i="25"/>
  <c r="E20" i="25"/>
  <c r="G20" i="25"/>
  <c r="I20" i="25"/>
  <c r="E2" i="25"/>
  <c r="F3" i="24"/>
  <c r="J3" i="24" s="1"/>
  <c r="H3" i="24"/>
  <c r="F4" i="24"/>
  <c r="H4" i="24"/>
  <c r="F5" i="24"/>
  <c r="H5" i="24"/>
  <c r="F6" i="24"/>
  <c r="H6" i="24"/>
  <c r="F7" i="24"/>
  <c r="H7" i="24"/>
  <c r="F8" i="24"/>
  <c r="H8" i="24"/>
  <c r="F9" i="24"/>
  <c r="H9" i="24"/>
  <c r="F10" i="24"/>
  <c r="H10" i="24"/>
  <c r="F11" i="24"/>
  <c r="J11" i="24" s="1"/>
  <c r="H11" i="24"/>
  <c r="F12" i="24"/>
  <c r="H12" i="24"/>
  <c r="F13" i="24"/>
  <c r="H13" i="24"/>
  <c r="F14" i="24"/>
  <c r="H14" i="24"/>
  <c r="F15" i="24"/>
  <c r="J15" i="24" s="1"/>
  <c r="H15" i="24"/>
  <c r="F2" i="24"/>
  <c r="E3" i="20"/>
  <c r="G3" i="20"/>
  <c r="E4" i="20"/>
  <c r="I4" i="20" s="1"/>
  <c r="G4" i="20"/>
  <c r="E5" i="20"/>
  <c r="G5" i="20"/>
  <c r="E6" i="20"/>
  <c r="G6" i="20"/>
  <c r="E7" i="20"/>
  <c r="I7" i="20" s="1"/>
  <c r="G7" i="20"/>
  <c r="E8" i="20"/>
  <c r="G8" i="20"/>
  <c r="E9" i="20"/>
  <c r="G9" i="20"/>
  <c r="I9" i="20"/>
  <c r="E10" i="20"/>
  <c r="I10" i="20" s="1"/>
  <c r="G10" i="20"/>
  <c r="E11" i="20"/>
  <c r="G11" i="20"/>
  <c r="E12" i="20"/>
  <c r="G12" i="20"/>
  <c r="I12" i="20"/>
  <c r="E13" i="20"/>
  <c r="I13" i="20" s="1"/>
  <c r="G13" i="20"/>
  <c r="E14" i="20"/>
  <c r="I14" i="20" s="1"/>
  <c r="G14" i="20"/>
  <c r="E15" i="20"/>
  <c r="G15" i="20"/>
  <c r="I15" i="20"/>
  <c r="E16" i="20"/>
  <c r="G16" i="20"/>
  <c r="E17" i="20"/>
  <c r="I17" i="20" s="1"/>
  <c r="G17" i="20"/>
  <c r="E18" i="20"/>
  <c r="G18" i="20"/>
  <c r="I18" i="20"/>
  <c r="E19" i="20"/>
  <c r="G19" i="20"/>
  <c r="E20" i="20"/>
  <c r="I20" i="20" s="1"/>
  <c r="G20" i="20"/>
  <c r="E21" i="20"/>
  <c r="G21" i="20"/>
  <c r="E22" i="20"/>
  <c r="G22" i="20"/>
  <c r="E23" i="20"/>
  <c r="I23" i="20" s="1"/>
  <c r="G23" i="20"/>
  <c r="E2" i="20"/>
  <c r="E3" i="23"/>
  <c r="I3" i="23" s="1"/>
  <c r="G3" i="23"/>
  <c r="E4" i="23"/>
  <c r="G4" i="23"/>
  <c r="I4" i="23"/>
  <c r="E5" i="23"/>
  <c r="G5" i="23"/>
  <c r="E6" i="23"/>
  <c r="G6" i="23"/>
  <c r="E7" i="23"/>
  <c r="G7" i="23"/>
  <c r="E8" i="23"/>
  <c r="G8" i="23"/>
  <c r="E9" i="23"/>
  <c r="G9" i="23"/>
  <c r="E10" i="23"/>
  <c r="I10" i="23" s="1"/>
  <c r="G10" i="23"/>
  <c r="E11" i="23"/>
  <c r="G11" i="23"/>
  <c r="E12" i="23"/>
  <c r="G12" i="23"/>
  <c r="I12" i="23"/>
  <c r="E13" i="23"/>
  <c r="G13" i="23"/>
  <c r="E14" i="23"/>
  <c r="G14" i="23"/>
  <c r="I14" i="23" s="1"/>
  <c r="E15" i="23"/>
  <c r="G15" i="23"/>
  <c r="I15" i="23"/>
  <c r="E16" i="23"/>
  <c r="G16" i="23"/>
  <c r="E17" i="23"/>
  <c r="G17" i="23"/>
  <c r="E18" i="23"/>
  <c r="G18" i="23"/>
  <c r="I18" i="23"/>
  <c r="E19" i="23"/>
  <c r="G19" i="23"/>
  <c r="E20" i="23"/>
  <c r="G20" i="23"/>
  <c r="E21" i="23"/>
  <c r="G21" i="23"/>
  <c r="I21" i="23"/>
  <c r="E22" i="23"/>
  <c r="G22" i="23"/>
  <c r="I22" i="23" s="1"/>
  <c r="E23" i="23"/>
  <c r="I23" i="23" s="1"/>
  <c r="G23" i="23"/>
  <c r="E24" i="23"/>
  <c r="I24" i="23" s="1"/>
  <c r="G24" i="23"/>
  <c r="E25" i="23"/>
  <c r="G25" i="23"/>
  <c r="E26" i="23"/>
  <c r="G26" i="23"/>
  <c r="E27" i="23"/>
  <c r="G27" i="23"/>
  <c r="E28" i="23"/>
  <c r="I28" i="23" s="1"/>
  <c r="G28" i="23"/>
  <c r="E29" i="23"/>
  <c r="G29" i="23"/>
  <c r="E30" i="23"/>
  <c r="G30" i="23"/>
  <c r="I30" i="23" s="1"/>
  <c r="E31" i="23"/>
  <c r="I31" i="23" s="1"/>
  <c r="G31" i="23"/>
  <c r="E32" i="23"/>
  <c r="G32" i="23"/>
  <c r="E33" i="23"/>
  <c r="G33" i="23"/>
  <c r="E34" i="23"/>
  <c r="I34" i="23" s="1"/>
  <c r="G34" i="23"/>
  <c r="E35" i="23"/>
  <c r="G35" i="23"/>
  <c r="E36" i="23"/>
  <c r="G36" i="23"/>
  <c r="E37" i="23"/>
  <c r="I37" i="23" s="1"/>
  <c r="G37" i="23"/>
  <c r="E38" i="23"/>
  <c r="G38" i="23"/>
  <c r="E39" i="23"/>
  <c r="G39" i="23"/>
  <c r="E40" i="23"/>
  <c r="G40" i="23"/>
  <c r="E41" i="23"/>
  <c r="G41" i="23"/>
  <c r="E42" i="23"/>
  <c r="I42" i="23" s="1"/>
  <c r="G42" i="23"/>
  <c r="E43" i="23"/>
  <c r="G43" i="23"/>
  <c r="E44" i="23"/>
  <c r="G44" i="23"/>
  <c r="I44" i="23"/>
  <c r="E45" i="23"/>
  <c r="G45" i="23"/>
  <c r="E46" i="23"/>
  <c r="G46" i="23"/>
  <c r="I46" i="23" s="1"/>
  <c r="E47" i="23"/>
  <c r="G47" i="23"/>
  <c r="I47" i="23"/>
  <c r="E48" i="23"/>
  <c r="G48" i="23"/>
  <c r="E49" i="23"/>
  <c r="G49" i="23"/>
  <c r="E50" i="23"/>
  <c r="G50" i="23"/>
  <c r="I50" i="23"/>
  <c r="E51" i="23"/>
  <c r="G51" i="23"/>
  <c r="E52" i="23"/>
  <c r="G52" i="23"/>
  <c r="E53" i="23"/>
  <c r="G53" i="23"/>
  <c r="I53" i="23"/>
  <c r="E54" i="23"/>
  <c r="G54" i="23"/>
  <c r="I54" i="23" s="1"/>
  <c r="E55" i="23"/>
  <c r="I55" i="23" s="1"/>
  <c r="G55" i="23"/>
  <c r="E56" i="23"/>
  <c r="I56" i="23" s="1"/>
  <c r="G56" i="23"/>
  <c r="E57" i="23"/>
  <c r="G57" i="23"/>
  <c r="E58" i="23"/>
  <c r="G58" i="23"/>
  <c r="E59" i="23"/>
  <c r="G59" i="23"/>
  <c r="E60" i="23"/>
  <c r="I60" i="23" s="1"/>
  <c r="G60" i="23"/>
  <c r="E61" i="23"/>
  <c r="G61" i="23"/>
  <c r="E62" i="23"/>
  <c r="G62" i="23"/>
  <c r="I62" i="23" s="1"/>
  <c r="E2" i="23"/>
  <c r="O62" i="21"/>
  <c r="I62" i="21"/>
  <c r="H62" i="21"/>
  <c r="G62" i="21"/>
  <c r="O61" i="21"/>
  <c r="I61" i="21"/>
  <c r="S61" i="21" s="1"/>
  <c r="H61" i="21"/>
  <c r="G61" i="21"/>
  <c r="O60" i="21"/>
  <c r="I60" i="21"/>
  <c r="H60" i="21"/>
  <c r="G60" i="21"/>
  <c r="O59" i="21"/>
  <c r="R59" i="21" s="1"/>
  <c r="I59" i="21"/>
  <c r="S59" i="21" s="1"/>
  <c r="H59" i="21"/>
  <c r="G59" i="21"/>
  <c r="O58" i="21"/>
  <c r="I58" i="21"/>
  <c r="H58" i="21"/>
  <c r="G58" i="21"/>
  <c r="O57" i="21"/>
  <c r="I57" i="21"/>
  <c r="S57" i="21" s="1"/>
  <c r="H57" i="21"/>
  <c r="G57" i="21"/>
  <c r="O56" i="21"/>
  <c r="Q56" i="21" s="1"/>
  <c r="I56" i="21"/>
  <c r="H56" i="21"/>
  <c r="G56" i="21"/>
  <c r="O55" i="21"/>
  <c r="R55" i="21" s="1"/>
  <c r="I55" i="21"/>
  <c r="H55" i="21"/>
  <c r="G55" i="21"/>
  <c r="O54" i="21"/>
  <c r="I54" i="21"/>
  <c r="H54" i="21"/>
  <c r="G54" i="21"/>
  <c r="O53" i="21"/>
  <c r="I53" i="21"/>
  <c r="S53" i="21" s="1"/>
  <c r="H53" i="21"/>
  <c r="G53" i="21"/>
  <c r="O52" i="21"/>
  <c r="I52" i="21"/>
  <c r="H52" i="21"/>
  <c r="G52" i="21"/>
  <c r="O51" i="21"/>
  <c r="I51" i="21"/>
  <c r="S51" i="21" s="1"/>
  <c r="H51" i="21"/>
  <c r="G51" i="21"/>
  <c r="O50" i="21"/>
  <c r="I50" i="21"/>
  <c r="H50" i="21"/>
  <c r="G50" i="21"/>
  <c r="O49" i="21"/>
  <c r="I49" i="21"/>
  <c r="H49" i="21"/>
  <c r="G49" i="21"/>
  <c r="O48" i="21"/>
  <c r="I48" i="21"/>
  <c r="H48" i="21"/>
  <c r="G48" i="21"/>
  <c r="O47" i="21"/>
  <c r="I47" i="21"/>
  <c r="S47" i="21" s="1"/>
  <c r="H47" i="21"/>
  <c r="G47" i="21"/>
  <c r="O46" i="21"/>
  <c r="I46" i="21"/>
  <c r="H46" i="21"/>
  <c r="G46" i="21"/>
  <c r="O45" i="21"/>
  <c r="I45" i="21"/>
  <c r="S45" i="21" s="1"/>
  <c r="H45" i="21"/>
  <c r="G45" i="21"/>
  <c r="O44" i="21"/>
  <c r="I44" i="21"/>
  <c r="H44" i="21"/>
  <c r="G44" i="21"/>
  <c r="O43" i="21"/>
  <c r="I43" i="21"/>
  <c r="S43" i="21" s="1"/>
  <c r="H43" i="21"/>
  <c r="G43" i="21"/>
  <c r="O42" i="21"/>
  <c r="I42" i="21"/>
  <c r="H42" i="21"/>
  <c r="G42" i="21"/>
  <c r="O41" i="21"/>
  <c r="I41" i="21"/>
  <c r="S41" i="21" s="1"/>
  <c r="H41" i="21"/>
  <c r="G41" i="21"/>
  <c r="O40" i="21"/>
  <c r="Q40" i="21" s="1"/>
  <c r="I40" i="21"/>
  <c r="H40" i="21"/>
  <c r="G40" i="21"/>
  <c r="O39" i="21"/>
  <c r="I39" i="21"/>
  <c r="S39" i="21" s="1"/>
  <c r="H39" i="21"/>
  <c r="G39" i="21"/>
  <c r="O38" i="21"/>
  <c r="Q38" i="21" s="1"/>
  <c r="I38" i="21"/>
  <c r="H38" i="21"/>
  <c r="G38" i="21"/>
  <c r="O37" i="21"/>
  <c r="S37" i="21" s="1"/>
  <c r="I37" i="21"/>
  <c r="H37" i="21"/>
  <c r="G37" i="21"/>
  <c r="O36" i="21"/>
  <c r="I36" i="21"/>
  <c r="H36" i="21"/>
  <c r="G36" i="21"/>
  <c r="O35" i="21"/>
  <c r="I35" i="21"/>
  <c r="S35" i="21" s="1"/>
  <c r="H35" i="21"/>
  <c r="G35" i="21"/>
  <c r="O34" i="21"/>
  <c r="I34" i="21"/>
  <c r="H34" i="21"/>
  <c r="G34" i="21"/>
  <c r="O33" i="21"/>
  <c r="I33" i="21"/>
  <c r="S33" i="21" s="1"/>
  <c r="H33" i="21"/>
  <c r="G33" i="21"/>
  <c r="O32" i="21"/>
  <c r="Q32" i="21" s="1"/>
  <c r="I32" i="21"/>
  <c r="H32" i="21"/>
  <c r="G32" i="21"/>
  <c r="O31" i="21"/>
  <c r="S31" i="21" s="1"/>
  <c r="I31" i="21"/>
  <c r="H31" i="21"/>
  <c r="G31" i="21"/>
  <c r="O30" i="21"/>
  <c r="I30" i="21"/>
  <c r="H30" i="21"/>
  <c r="G30" i="21"/>
  <c r="O29" i="21"/>
  <c r="R29" i="21" s="1"/>
  <c r="I29" i="21"/>
  <c r="S29" i="21" s="1"/>
  <c r="H29" i="21"/>
  <c r="G29" i="21"/>
  <c r="O28" i="21"/>
  <c r="I28" i="21"/>
  <c r="H28" i="21"/>
  <c r="G28" i="21"/>
  <c r="O27" i="21"/>
  <c r="I27" i="21"/>
  <c r="S27" i="21" s="1"/>
  <c r="H27" i="21"/>
  <c r="G27" i="21"/>
  <c r="O26" i="21"/>
  <c r="I26" i="21"/>
  <c r="H26" i="21"/>
  <c r="G26" i="21"/>
  <c r="O25" i="21"/>
  <c r="I25" i="21"/>
  <c r="S25" i="21" s="1"/>
  <c r="H25" i="21"/>
  <c r="G25" i="21"/>
  <c r="O24" i="21"/>
  <c r="Q24" i="21" s="1"/>
  <c r="I24" i="21"/>
  <c r="H24" i="21"/>
  <c r="G24" i="21"/>
  <c r="O23" i="21"/>
  <c r="I23" i="21"/>
  <c r="S23" i="21" s="1"/>
  <c r="H23" i="21"/>
  <c r="G23" i="21"/>
  <c r="O22" i="21"/>
  <c r="Q22" i="21" s="1"/>
  <c r="I22" i="21"/>
  <c r="H22" i="21"/>
  <c r="G22" i="21"/>
  <c r="O21" i="21"/>
  <c r="R21" i="21" s="1"/>
  <c r="I21" i="21"/>
  <c r="S21" i="21" s="1"/>
  <c r="H21" i="21"/>
  <c r="G21" i="21"/>
  <c r="O20" i="21"/>
  <c r="I20" i="21"/>
  <c r="H20" i="21"/>
  <c r="G20" i="21"/>
  <c r="O19" i="21"/>
  <c r="I19" i="21"/>
  <c r="S19" i="21" s="1"/>
  <c r="H19" i="21"/>
  <c r="G19" i="21"/>
  <c r="O18" i="21"/>
  <c r="I18" i="21"/>
  <c r="H18" i="21"/>
  <c r="G18" i="21"/>
  <c r="O17" i="21"/>
  <c r="I17" i="21"/>
  <c r="S17" i="21" s="1"/>
  <c r="H17" i="21"/>
  <c r="G17" i="21"/>
  <c r="O16" i="21"/>
  <c r="I16" i="21"/>
  <c r="H16" i="21"/>
  <c r="G16" i="21"/>
  <c r="O15" i="21"/>
  <c r="R15" i="21" s="1"/>
  <c r="I15" i="21"/>
  <c r="H15" i="21"/>
  <c r="G15" i="21"/>
  <c r="O14" i="21"/>
  <c r="I14" i="21"/>
  <c r="H14" i="21"/>
  <c r="G14" i="21"/>
  <c r="O13" i="21"/>
  <c r="I13" i="21"/>
  <c r="S13" i="21" s="1"/>
  <c r="H13" i="21"/>
  <c r="G13" i="21"/>
  <c r="O12" i="21"/>
  <c r="S12" i="21" s="1"/>
  <c r="I12" i="21"/>
  <c r="H12" i="21"/>
  <c r="G12" i="21"/>
  <c r="O11" i="21"/>
  <c r="I11" i="21"/>
  <c r="S11" i="21" s="1"/>
  <c r="H11" i="21"/>
  <c r="G11" i="21"/>
  <c r="O10" i="21"/>
  <c r="R10" i="21" s="1"/>
  <c r="I10" i="21"/>
  <c r="H10" i="21"/>
  <c r="G10" i="21"/>
  <c r="O9" i="21"/>
  <c r="I9" i="21"/>
  <c r="S9" i="21" s="1"/>
  <c r="H9" i="21"/>
  <c r="G9" i="21"/>
  <c r="O8" i="21"/>
  <c r="I8" i="21"/>
  <c r="H8" i="21"/>
  <c r="G8" i="21"/>
  <c r="O7" i="21"/>
  <c r="I7" i="21"/>
  <c r="S7" i="21" s="1"/>
  <c r="H7" i="21"/>
  <c r="G7" i="21"/>
  <c r="O6" i="21"/>
  <c r="I6" i="21"/>
  <c r="H6" i="21"/>
  <c r="G6" i="21"/>
  <c r="O5" i="21"/>
  <c r="I5" i="21"/>
  <c r="S5" i="21" s="1"/>
  <c r="H5" i="21"/>
  <c r="G5" i="21"/>
  <c r="O4" i="21"/>
  <c r="I4" i="21"/>
  <c r="H4" i="21"/>
  <c r="G4" i="21"/>
  <c r="O3" i="21"/>
  <c r="I3" i="21"/>
  <c r="S3" i="21" s="1"/>
  <c r="H3" i="21"/>
  <c r="G3" i="21"/>
  <c r="O2" i="21"/>
  <c r="I2" i="21"/>
  <c r="H2" i="21"/>
  <c r="G2" i="21"/>
  <c r="R60" i="21"/>
  <c r="Q60" i="21"/>
  <c r="S55" i="21"/>
  <c r="S49" i="21"/>
  <c r="S15" i="21"/>
  <c r="X20" i="26" l="1"/>
  <c r="Y36" i="26"/>
  <c r="AB20" i="26"/>
  <c r="X52" i="26"/>
  <c r="X12" i="26"/>
  <c r="AA44" i="26"/>
  <c r="Z4" i="26"/>
  <c r="AB60" i="26"/>
  <c r="Y28" i="26"/>
  <c r="Y12" i="26"/>
  <c r="Y39" i="26"/>
  <c r="X3" i="26"/>
  <c r="X48" i="26"/>
  <c r="X32" i="26"/>
  <c r="AB52" i="26"/>
  <c r="Z52" i="26"/>
  <c r="X41" i="26"/>
  <c r="X9" i="26"/>
  <c r="Y61" i="26"/>
  <c r="X51" i="26"/>
  <c r="Z43" i="26"/>
  <c r="AA50" i="26"/>
  <c r="AA34" i="26"/>
  <c r="X60" i="26"/>
  <c r="Z53" i="26"/>
  <c r="Z36" i="26"/>
  <c r="Y29" i="26"/>
  <c r="Y21" i="26"/>
  <c r="Y57" i="26"/>
  <c r="AA36" i="26"/>
  <c r="Y23" i="26"/>
  <c r="Z28" i="26"/>
  <c r="X22" i="26"/>
  <c r="X28" i="26"/>
  <c r="I52" i="23"/>
  <c r="I45" i="23"/>
  <c r="I20" i="23"/>
  <c r="I13" i="23"/>
  <c r="R22" i="21"/>
  <c r="I61" i="23"/>
  <c r="I29" i="23"/>
  <c r="R6" i="21"/>
  <c r="R16" i="21"/>
  <c r="R28" i="21"/>
  <c r="R32" i="21"/>
  <c r="R34" i="21"/>
  <c r="R38" i="21"/>
  <c r="R44" i="21"/>
  <c r="R50" i="21"/>
  <c r="R52" i="21"/>
  <c r="R56" i="21"/>
  <c r="I39" i="23"/>
  <c r="I7" i="23"/>
  <c r="I58" i="23"/>
  <c r="I40" i="23"/>
  <c r="I26" i="23"/>
  <c r="I8" i="23"/>
  <c r="I36" i="23"/>
  <c r="R4" i="21"/>
  <c r="R12" i="21"/>
  <c r="R14" i="21"/>
  <c r="R18" i="21"/>
  <c r="S4" i="21"/>
  <c r="S6" i="21"/>
  <c r="S10" i="21"/>
  <c r="S16" i="21"/>
  <c r="S20" i="21"/>
  <c r="S22" i="21"/>
  <c r="S26" i="21"/>
  <c r="S28" i="21"/>
  <c r="S32" i="21"/>
  <c r="S42" i="21"/>
  <c r="S48" i="21"/>
  <c r="S56" i="21"/>
  <c r="I38" i="23"/>
  <c r="I6" i="23"/>
  <c r="Q4" i="21"/>
  <c r="R20" i="21"/>
  <c r="R26" i="21"/>
  <c r="Q15" i="21"/>
  <c r="Q3" i="21"/>
  <c r="Q5" i="21"/>
  <c r="Q7" i="21"/>
  <c r="Q9" i="21"/>
  <c r="Q11" i="21"/>
  <c r="Q13" i="21"/>
  <c r="Q17" i="21"/>
  <c r="Q19" i="21"/>
  <c r="Q21" i="21"/>
  <c r="Q23" i="21"/>
  <c r="Q25" i="21"/>
  <c r="Q27" i="21"/>
  <c r="Q29" i="21"/>
  <c r="Q31" i="21"/>
  <c r="Q33" i="21"/>
  <c r="Q35" i="21"/>
  <c r="Q37" i="21"/>
  <c r="Q39" i="21"/>
  <c r="Q43" i="21"/>
  <c r="Q45" i="21"/>
  <c r="Q47" i="21"/>
  <c r="Q49" i="21"/>
  <c r="Q51" i="21"/>
  <c r="Q53" i="21"/>
  <c r="Q55" i="21"/>
  <c r="Q57" i="21"/>
  <c r="Q59" i="21"/>
  <c r="Q61" i="21"/>
  <c r="R30" i="21"/>
  <c r="R48" i="21"/>
  <c r="R3" i="21"/>
  <c r="R5" i="21"/>
  <c r="R7" i="21"/>
  <c r="R9" i="21"/>
  <c r="R11" i="21"/>
  <c r="R13" i="21"/>
  <c r="R17" i="21"/>
  <c r="R19" i="21"/>
  <c r="R23" i="21"/>
  <c r="R25" i="21"/>
  <c r="R27" i="21"/>
  <c r="R31" i="21"/>
  <c r="R33" i="21"/>
  <c r="R35" i="21"/>
  <c r="R37" i="21"/>
  <c r="R39" i="21"/>
  <c r="R41" i="21"/>
  <c r="R43" i="21"/>
  <c r="R45" i="21"/>
  <c r="R47" i="21"/>
  <c r="R51" i="21"/>
  <c r="R53" i="21"/>
  <c r="R61" i="21"/>
  <c r="Q6" i="21"/>
  <c r="Q8" i="21"/>
  <c r="Q12" i="21"/>
  <c r="Q14" i="21"/>
  <c r="Q16" i="21"/>
  <c r="Q20" i="21"/>
  <c r="Q28" i="21"/>
  <c r="Q44" i="21"/>
  <c r="Q46" i="21"/>
  <c r="Q48" i="21"/>
  <c r="Q52" i="21"/>
  <c r="S60" i="21"/>
  <c r="AA11" i="26"/>
  <c r="Y17" i="26"/>
  <c r="Y20" i="26"/>
  <c r="X56" i="26"/>
  <c r="X40" i="26"/>
  <c r="X16" i="26"/>
  <c r="X8" i="26"/>
  <c r="AB12" i="26"/>
  <c r="AA12" i="26"/>
  <c r="AB26" i="26"/>
  <c r="Y60" i="26"/>
  <c r="AA28" i="26"/>
  <c r="X23" i="26"/>
  <c r="Z12" i="26"/>
  <c r="Y11" i="26"/>
  <c r="X11" i="26"/>
  <c r="AB3" i="26"/>
  <c r="Z11" i="26"/>
  <c r="AB58" i="26"/>
  <c r="Z41" i="26"/>
  <c r="AA27" i="26"/>
  <c r="Z19" i="26"/>
  <c r="AB10" i="26"/>
  <c r="Z57" i="26"/>
  <c r="AA51" i="26"/>
  <c r="X36" i="26"/>
  <c r="Z27" i="26"/>
  <c r="AA18" i="26"/>
  <c r="Y25" i="26"/>
  <c r="AA3" i="26"/>
  <c r="X43" i="26"/>
  <c r="Y49" i="26"/>
  <c r="Y33" i="26"/>
  <c r="Z59" i="26"/>
  <c r="AB42" i="26"/>
  <c r="Y3" i="26"/>
  <c r="Z51" i="26"/>
  <c r="X27" i="26"/>
  <c r="AA60" i="26"/>
  <c r="Y55" i="26"/>
  <c r="AB51" i="26"/>
  <c r="X44" i="26"/>
  <c r="X39" i="26"/>
  <c r="AB35" i="26"/>
  <c r="AB28" i="26"/>
  <c r="Y27" i="26"/>
  <c r="AA20" i="26"/>
  <c r="Y7" i="26"/>
  <c r="J7" i="24"/>
  <c r="J10" i="24"/>
  <c r="J13" i="24"/>
  <c r="J9" i="24"/>
  <c r="J14" i="24"/>
  <c r="J6" i="24"/>
  <c r="J12" i="24"/>
  <c r="J4" i="24"/>
  <c r="S2" i="21"/>
  <c r="S8" i="21"/>
  <c r="S58" i="21"/>
  <c r="S18" i="21"/>
  <c r="S34" i="21"/>
  <c r="S36" i="21"/>
  <c r="S44" i="21"/>
  <c r="S54" i="21"/>
  <c r="S14" i="21"/>
  <c r="S46" i="21"/>
  <c r="S52" i="21"/>
  <c r="S62" i="21"/>
  <c r="S38" i="21"/>
  <c r="I51" i="23"/>
  <c r="I35" i="23"/>
  <c r="I9" i="23"/>
  <c r="R8" i="21"/>
  <c r="R24" i="21"/>
  <c r="I5" i="23"/>
  <c r="I19" i="23"/>
  <c r="S24" i="21"/>
  <c r="Q54" i="21"/>
  <c r="I48" i="23"/>
  <c r="I32" i="23"/>
  <c r="I16" i="23"/>
  <c r="I57" i="23"/>
  <c r="I25" i="23"/>
  <c r="Q36" i="21"/>
  <c r="R46" i="21"/>
  <c r="Q62" i="21"/>
  <c r="R36" i="21"/>
  <c r="R62" i="21"/>
  <c r="I59" i="23"/>
  <c r="I43" i="23"/>
  <c r="I27" i="23"/>
  <c r="I11" i="23"/>
  <c r="I41" i="23"/>
  <c r="Q30" i="21"/>
  <c r="R40" i="21"/>
  <c r="R2" i="21"/>
  <c r="S30" i="21"/>
  <c r="S40" i="21"/>
  <c r="R54" i="21"/>
  <c r="I49" i="23"/>
  <c r="I33" i="23"/>
  <c r="I17" i="23"/>
  <c r="I19" i="20"/>
  <c r="I22" i="20"/>
  <c r="I5" i="20"/>
  <c r="I11" i="20"/>
  <c r="I8" i="20"/>
  <c r="I16" i="20"/>
  <c r="I3" i="20"/>
  <c r="I6" i="20"/>
  <c r="I21" i="20"/>
  <c r="I3" i="25"/>
  <c r="I14" i="25"/>
  <c r="I11" i="25"/>
  <c r="I6" i="25"/>
  <c r="J8" i="24"/>
  <c r="J5" i="24"/>
  <c r="Y59" i="26"/>
  <c r="Y48" i="26"/>
  <c r="Z44" i="26"/>
  <c r="AA35" i="26"/>
  <c r="Z25" i="26"/>
  <c r="Y4" i="26"/>
  <c r="AB43" i="26"/>
  <c r="X35" i="26"/>
  <c r="X19" i="26"/>
  <c r="Z3" i="26"/>
  <c r="Z60" i="26"/>
  <c r="X59" i="26"/>
  <c r="X54" i="26"/>
  <c r="Y44" i="26"/>
  <c r="AB36" i="26"/>
  <c r="Z35" i="26"/>
  <c r="Z20" i="26"/>
  <c r="X7" i="26"/>
  <c r="X4" i="26"/>
  <c r="Y58" i="26"/>
  <c r="Z50" i="26"/>
  <c r="Y42" i="26"/>
  <c r="X34" i="26"/>
  <c r="Y26" i="26"/>
  <c r="Y18" i="26"/>
  <c r="Y10" i="26"/>
  <c r="AA17" i="26"/>
  <c r="X24" i="26"/>
  <c r="AA52" i="26"/>
  <c r="AA43" i="26"/>
  <c r="Y16" i="26"/>
  <c r="X63" i="26"/>
  <c r="X47" i="26"/>
  <c r="X31" i="26"/>
  <c r="X15" i="26"/>
  <c r="AB59" i="26"/>
  <c r="AA33" i="26"/>
  <c r="AA59" i="26"/>
  <c r="Y52" i="26"/>
  <c r="AB44" i="26"/>
  <c r="Y43" i="26"/>
  <c r="Y32" i="26"/>
  <c r="AA19" i="26"/>
  <c r="Z9" i="26"/>
  <c r="AA4" i="26"/>
  <c r="AB4" i="26"/>
  <c r="X55" i="26"/>
  <c r="AA49" i="26"/>
  <c r="X38" i="26"/>
  <c r="Z18" i="26"/>
  <c r="Y50" i="26"/>
  <c r="Y41" i="26"/>
  <c r="Y34" i="26"/>
  <c r="X50" i="26"/>
  <c r="X58" i="26"/>
  <c r="Z56" i="26"/>
  <c r="X49" i="26"/>
  <c r="X42" i="26"/>
  <c r="Z40" i="26"/>
  <c r="X33" i="26"/>
  <c r="X26" i="26"/>
  <c r="Z24" i="26"/>
  <c r="X17" i="26"/>
  <c r="X10" i="26"/>
  <c r="Z8" i="26"/>
  <c r="Z34" i="26"/>
  <c r="Y9" i="26"/>
  <c r="X57" i="26"/>
  <c r="X25" i="26"/>
  <c r="X18" i="26"/>
  <c r="AA57" i="26"/>
  <c r="AA25" i="26"/>
  <c r="Y63" i="26"/>
  <c r="Z58" i="26"/>
  <c r="Y56" i="26"/>
  <c r="Y51" i="26"/>
  <c r="Z49" i="26"/>
  <c r="Y47" i="26"/>
  <c r="Z42" i="26"/>
  <c r="Y40" i="26"/>
  <c r="Y35" i="26"/>
  <c r="Z33" i="26"/>
  <c r="Y31" i="26"/>
  <c r="Z26" i="26"/>
  <c r="Y24" i="26"/>
  <c r="Y19" i="26"/>
  <c r="Z17" i="26"/>
  <c r="Y15" i="26"/>
  <c r="Z10" i="26"/>
  <c r="Y8" i="26"/>
  <c r="Z48" i="26"/>
  <c r="Z32" i="26"/>
  <c r="Z16" i="26"/>
  <c r="AA58" i="26"/>
  <c r="AB50" i="26"/>
  <c r="AA42" i="26"/>
  <c r="AA41" i="26"/>
  <c r="AB34" i="26"/>
  <c r="AA26" i="26"/>
  <c r="AB18" i="26"/>
  <c r="AA10" i="26"/>
  <c r="AA9" i="26"/>
  <c r="X62" i="26"/>
  <c r="X46" i="26"/>
  <c r="X30" i="26"/>
  <c r="X14" i="26"/>
  <c r="AB29" i="26"/>
  <c r="AB53" i="26"/>
  <c r="AB37" i="26"/>
  <c r="AB21" i="26"/>
  <c r="AB5" i="26"/>
  <c r="AB38" i="26"/>
  <c r="AA37" i="26"/>
  <c r="AB30" i="26"/>
  <c r="AA29" i="26"/>
  <c r="AB22" i="26"/>
  <c r="AA21" i="26"/>
  <c r="AB14" i="26"/>
  <c r="AA13" i="26"/>
  <c r="AB6" i="26"/>
  <c r="AA5" i="26"/>
  <c r="AA62" i="26"/>
  <c r="Z61" i="26"/>
  <c r="AB47" i="26"/>
  <c r="AB39" i="26"/>
  <c r="AA38" i="26"/>
  <c r="Z37" i="26"/>
  <c r="AB31" i="26"/>
  <c r="AA30" i="26"/>
  <c r="Z29" i="26"/>
  <c r="AB7" i="26"/>
  <c r="AA6" i="26"/>
  <c r="Z5" i="26"/>
  <c r="AA63" i="26"/>
  <c r="AA55" i="26"/>
  <c r="Y53" i="26"/>
  <c r="AA47" i="26"/>
  <c r="Z46" i="26"/>
  <c r="Y45" i="26"/>
  <c r="AB8" i="26"/>
  <c r="AA7" i="26"/>
  <c r="Z6" i="26"/>
  <c r="Y5" i="26"/>
  <c r="Z63" i="26"/>
  <c r="Y62" i="26"/>
  <c r="X61" i="26"/>
  <c r="AB57" i="26"/>
  <c r="AA56" i="26"/>
  <c r="Z55" i="26"/>
  <c r="Y54" i="26"/>
  <c r="X53" i="26"/>
  <c r="AB49" i="26"/>
  <c r="AA48" i="26"/>
  <c r="Z47" i="26"/>
  <c r="Y46" i="26"/>
  <c r="X45" i="26"/>
  <c r="AB41" i="26"/>
  <c r="AA40" i="26"/>
  <c r="Z39" i="26"/>
  <c r="Y38" i="26"/>
  <c r="X37" i="26"/>
  <c r="AB33" i="26"/>
  <c r="AA32" i="26"/>
  <c r="Z31" i="26"/>
  <c r="Y30" i="26"/>
  <c r="X29" i="26"/>
  <c r="AB25" i="26"/>
  <c r="AA24" i="26"/>
  <c r="Z23" i="26"/>
  <c r="Y22" i="26"/>
  <c r="X21" i="26"/>
  <c r="AB17" i="26"/>
  <c r="AA16" i="26"/>
  <c r="Z15" i="26"/>
  <c r="Y14" i="26"/>
  <c r="X13" i="26"/>
  <c r="AB9" i="26"/>
  <c r="AA8" i="26"/>
  <c r="Z7" i="26"/>
  <c r="Y6" i="26"/>
  <c r="AB61" i="26"/>
  <c r="AB45" i="26"/>
  <c r="AB13" i="26"/>
  <c r="AB62" i="26"/>
  <c r="AA61" i="26"/>
  <c r="AB54" i="26"/>
  <c r="AA53" i="26"/>
  <c r="AB46" i="26"/>
  <c r="AA45" i="26"/>
  <c r="AB63" i="26"/>
  <c r="AB55" i="26"/>
  <c r="AA54" i="26"/>
  <c r="AA46" i="26"/>
  <c r="AB23" i="26"/>
  <c r="AA22" i="26"/>
  <c r="Z21" i="26"/>
  <c r="AB15" i="26"/>
  <c r="AA14" i="26"/>
  <c r="Z13" i="26"/>
  <c r="Z62" i="26"/>
  <c r="AB56" i="26"/>
  <c r="Z54" i="26"/>
  <c r="AB48" i="26"/>
  <c r="AB40" i="26"/>
  <c r="AA39" i="26"/>
  <c r="Z38" i="26"/>
  <c r="AB32" i="26"/>
  <c r="AA31" i="26"/>
  <c r="Z30" i="26"/>
  <c r="AB24" i="26"/>
  <c r="AA23" i="26"/>
  <c r="Z22" i="26"/>
  <c r="AB16" i="26"/>
  <c r="AA15" i="26"/>
  <c r="Z14" i="26"/>
  <c r="Q2" i="21"/>
  <c r="Q10" i="21"/>
  <c r="Q18" i="21"/>
  <c r="Q26" i="21"/>
  <c r="Q34" i="21"/>
  <c r="Q42" i="21"/>
  <c r="Q58" i="21"/>
  <c r="Q41" i="21"/>
  <c r="R42" i="21"/>
  <c r="R49" i="21"/>
  <c r="S50" i="21"/>
  <c r="R57" i="21"/>
  <c r="Q50" i="21"/>
  <c r="R58" i="21"/>
  <c r="G2" i="25" l="1"/>
  <c r="I2" i="25" s="1"/>
  <c r="H2" i="24"/>
  <c r="G2" i="20"/>
  <c r="G2" i="23"/>
  <c r="I2" i="23" s="1"/>
  <c r="J2" i="24" l="1"/>
  <c r="I2" i="20"/>
  <c r="I14" i="15" l="1"/>
  <c r="I13" i="15"/>
  <c r="I12" i="15"/>
  <c r="D14" i="15"/>
  <c r="D13" i="15"/>
  <c r="D12" i="15"/>
  <c r="E12" i="15"/>
  <c r="K75" i="17"/>
  <c r="H75" i="17"/>
  <c r="K74" i="17"/>
  <c r="H74" i="17"/>
  <c r="K73" i="17"/>
  <c r="H73" i="17"/>
  <c r="K72" i="17"/>
  <c r="H72" i="17"/>
  <c r="K71" i="17"/>
  <c r="H71" i="17"/>
  <c r="K70" i="17"/>
  <c r="H70" i="17"/>
  <c r="K69" i="17"/>
  <c r="H69" i="17"/>
  <c r="K68" i="17"/>
  <c r="H68" i="17"/>
  <c r="K67" i="17"/>
  <c r="H67" i="17"/>
  <c r="K66" i="17"/>
  <c r="H66" i="17"/>
  <c r="K65" i="17"/>
  <c r="H65" i="17"/>
  <c r="K64" i="17"/>
  <c r="H64" i="17"/>
  <c r="K63" i="17"/>
  <c r="H63" i="17"/>
  <c r="K62" i="17"/>
  <c r="H62" i="17"/>
  <c r="K61" i="17"/>
  <c r="H61" i="17"/>
  <c r="K60" i="17"/>
  <c r="H60" i="17"/>
  <c r="K59" i="17"/>
  <c r="H59" i="17"/>
  <c r="K58" i="17"/>
  <c r="H58" i="17"/>
  <c r="K57" i="17"/>
  <c r="H57" i="17"/>
  <c r="K56" i="17"/>
  <c r="H56" i="17"/>
  <c r="K55" i="17"/>
  <c r="H55" i="17"/>
  <c r="K54" i="17"/>
  <c r="H54" i="17"/>
  <c r="K53" i="17"/>
  <c r="H53" i="17"/>
  <c r="K52" i="17"/>
  <c r="H52" i="17"/>
  <c r="K51" i="17"/>
  <c r="H51" i="17"/>
  <c r="K50" i="17"/>
  <c r="H50" i="17"/>
  <c r="K49" i="17"/>
  <c r="H49" i="17"/>
  <c r="K48" i="17"/>
  <c r="K47" i="17"/>
  <c r="K46" i="17"/>
  <c r="K45" i="17"/>
  <c r="K44" i="17"/>
  <c r="K43" i="17"/>
  <c r="K42" i="17"/>
  <c r="K41" i="17"/>
  <c r="K40" i="17"/>
  <c r="K39" i="17"/>
  <c r="K38" i="17"/>
  <c r="K37" i="17"/>
  <c r="K36" i="17"/>
  <c r="K35" i="17"/>
  <c r="K34" i="17"/>
  <c r="K33" i="17"/>
  <c r="K32" i="17"/>
  <c r="K31" i="17"/>
  <c r="K30" i="17"/>
  <c r="K29" i="17"/>
  <c r="K28" i="17"/>
  <c r="K27" i="17"/>
  <c r="K26" i="17"/>
  <c r="K25" i="17"/>
  <c r="K24" i="17"/>
  <c r="K23" i="17"/>
  <c r="K22" i="17"/>
  <c r="K21" i="17"/>
  <c r="K20" i="17"/>
  <c r="K19" i="17"/>
  <c r="K18" i="17"/>
  <c r="K17" i="17"/>
  <c r="K16" i="17"/>
  <c r="K15" i="17"/>
  <c r="K14" i="17"/>
  <c r="K13" i="17"/>
  <c r="K12" i="17"/>
  <c r="K11" i="17"/>
  <c r="K10" i="17"/>
  <c r="K9" i="17"/>
  <c r="K8" i="17"/>
  <c r="K7" i="17"/>
  <c r="K6" i="17"/>
  <c r="K5" i="17"/>
  <c r="K4" i="17"/>
  <c r="K3" i="17"/>
  <c r="K2" i="17"/>
  <c r="K14" i="15"/>
  <c r="J14" i="15"/>
  <c r="H14" i="15"/>
  <c r="F14" i="15"/>
  <c r="E14" i="15"/>
  <c r="C14" i="15"/>
  <c r="K13" i="15"/>
  <c r="J13" i="15"/>
  <c r="H13" i="15"/>
  <c r="F13" i="15"/>
  <c r="E13" i="15"/>
  <c r="C13" i="15"/>
  <c r="K12" i="15"/>
  <c r="J12" i="15"/>
  <c r="H12" i="15"/>
  <c r="F12" i="15"/>
  <c r="C12" i="15"/>
  <c r="F2" i="12"/>
  <c r="F3" i="12"/>
  <c r="F4" i="12"/>
  <c r="F5" i="12"/>
  <c r="F6" i="12"/>
  <c r="F7" i="12"/>
  <c r="F8" i="12"/>
  <c r="F9" i="12"/>
  <c r="F10" i="12"/>
  <c r="F11" i="12"/>
  <c r="F12" i="12"/>
  <c r="F13" i="12"/>
  <c r="F14" i="12"/>
  <c r="F15" i="12"/>
  <c r="F16" i="12"/>
  <c r="F17" i="12"/>
  <c r="F18" i="12"/>
  <c r="F19" i="12"/>
  <c r="E2" i="12"/>
  <c r="E3" i="12"/>
  <c r="E4" i="12"/>
  <c r="E5" i="12"/>
  <c r="E6" i="12"/>
  <c r="E7" i="12"/>
  <c r="E8" i="12"/>
  <c r="E9" i="12"/>
  <c r="E10" i="12"/>
  <c r="E11" i="12"/>
  <c r="E12" i="12"/>
  <c r="E13" i="12"/>
  <c r="E14" i="12"/>
  <c r="E15" i="12"/>
  <c r="E16" i="12"/>
  <c r="E17" i="12"/>
  <c r="E18" i="12"/>
  <c r="E19" i="12"/>
  <c r="D2" i="12"/>
  <c r="D3" i="12"/>
  <c r="D4" i="12"/>
  <c r="D5" i="12"/>
  <c r="D6" i="12"/>
  <c r="D7" i="12"/>
  <c r="D8" i="12"/>
  <c r="D9" i="12"/>
  <c r="D10" i="12"/>
  <c r="D11" i="12"/>
  <c r="D12" i="12"/>
  <c r="D13" i="12"/>
  <c r="D14" i="12"/>
  <c r="D15" i="12"/>
  <c r="D16" i="12"/>
  <c r="D17" i="12"/>
  <c r="D18" i="12"/>
  <c r="D19" i="12"/>
  <c r="C2" i="12"/>
  <c r="C3" i="12"/>
  <c r="C4" i="12"/>
  <c r="C5" i="12"/>
  <c r="C6" i="12"/>
  <c r="C7" i="12"/>
  <c r="C8" i="12"/>
  <c r="C9" i="12"/>
  <c r="C10" i="12"/>
  <c r="C11" i="12"/>
  <c r="C12" i="12"/>
  <c r="C13" i="12"/>
  <c r="C14" i="12"/>
  <c r="C15" i="12"/>
  <c r="C16" i="12"/>
  <c r="C17" i="12"/>
  <c r="C18" i="12"/>
  <c r="C19" i="12"/>
  <c r="B2" i="12"/>
  <c r="B3" i="12"/>
  <c r="B4" i="12"/>
  <c r="B5" i="12"/>
  <c r="B6" i="12"/>
  <c r="B7" i="12"/>
  <c r="B8" i="12"/>
  <c r="B9" i="12"/>
  <c r="B10" i="12"/>
  <c r="B11" i="12"/>
  <c r="B12" i="12"/>
  <c r="B13" i="12"/>
  <c r="B14" i="12"/>
  <c r="B15" i="12"/>
  <c r="B16" i="12"/>
  <c r="B17" i="12"/>
  <c r="B18" i="12"/>
  <c r="B19" i="12"/>
  <c r="T16" i="13" l="1" a="1"/>
  <c r="T16" i="13" s="1"/>
  <c r="T17" i="13" a="1"/>
  <c r="T17" i="13" s="1"/>
  <c r="T19" i="13" a="1"/>
  <c r="T19" i="13" s="1"/>
  <c r="T18" i="13" a="1"/>
  <c r="T18" i="13" s="1"/>
  <c r="V33" i="13" a="1"/>
  <c r="V33" i="13" s="1"/>
  <c r="V34" i="13" a="1"/>
  <c r="V34" i="13" s="1"/>
  <c r="V32" i="13" a="1"/>
  <c r="V32" i="13" s="1"/>
  <c r="V35" i="13" a="1"/>
  <c r="V35" i="13" s="1"/>
  <c r="W11" i="13" a="1"/>
  <c r="W11" i="13" s="1"/>
  <c r="W8" i="13" a="1"/>
  <c r="W8" i="13" s="1"/>
  <c r="W9" i="13" a="1"/>
  <c r="W9" i="13" s="1"/>
  <c r="W10" i="13" a="1"/>
  <c r="W10" i="13" s="1"/>
  <c r="T15" i="13" a="1"/>
  <c r="T15" i="13" s="1"/>
  <c r="T12" i="13" a="1"/>
  <c r="T12" i="13" s="1"/>
  <c r="T13" i="13" a="1"/>
  <c r="T13" i="13" s="1"/>
  <c r="T14" i="13" a="1"/>
  <c r="T14" i="13" s="1"/>
  <c r="V29" i="13" a="1"/>
  <c r="V29" i="13" s="1"/>
  <c r="V30" i="13" a="1"/>
  <c r="V30" i="13" s="1"/>
  <c r="V28" i="13" a="1"/>
  <c r="V28" i="13" s="1"/>
  <c r="V31" i="13" a="1"/>
  <c r="V31" i="13" s="1"/>
  <c r="I8" i="13" a="1"/>
  <c r="I8" i="13" s="1"/>
  <c r="I9" i="13" a="1"/>
  <c r="I9" i="13" s="1"/>
  <c r="I11" i="13" a="1"/>
  <c r="I11" i="13" s="1"/>
  <c r="I10" i="13" a="1"/>
  <c r="I10" i="13" s="1"/>
  <c r="T9" i="13" a="1"/>
  <c r="T9" i="13" s="1"/>
  <c r="T8" i="13" a="1"/>
  <c r="T8" i="13" s="1"/>
  <c r="T11" i="13" a="1"/>
  <c r="T11" i="13" s="1"/>
  <c r="T10" i="13" a="1"/>
  <c r="T10" i="13" s="1"/>
  <c r="U17" i="13" a="1"/>
  <c r="U17" i="13" s="1"/>
  <c r="U16" i="13" a="1"/>
  <c r="U16" i="13" s="1"/>
  <c r="U19" i="13" a="1"/>
  <c r="U19" i="13" s="1"/>
  <c r="U18" i="13" a="1"/>
  <c r="U18" i="13" s="1"/>
  <c r="G21" i="13" a="1"/>
  <c r="G21" i="13" s="1"/>
  <c r="G20" i="13" a="1"/>
  <c r="G20" i="13" s="1"/>
  <c r="G22" i="13" a="1"/>
  <c r="G22" i="13" s="1"/>
  <c r="G23" i="13" a="1"/>
  <c r="G23" i="13" s="1"/>
  <c r="V24" i="13" a="1"/>
  <c r="V24" i="13" s="1"/>
  <c r="V26" i="13" a="1"/>
  <c r="V26" i="13" s="1"/>
  <c r="V27" i="13" a="1"/>
  <c r="V27" i="13" s="1"/>
  <c r="V25" i="13" a="1"/>
  <c r="V25" i="13" s="1"/>
  <c r="H28" i="13" a="1"/>
  <c r="H28" i="13" s="1"/>
  <c r="H30" i="13" a="1"/>
  <c r="H30" i="13" s="1"/>
  <c r="H29" i="13" a="1"/>
  <c r="H29" i="13" s="1"/>
  <c r="H31" i="13" a="1"/>
  <c r="H31" i="13" s="1"/>
  <c r="W32" i="13" a="1"/>
  <c r="W32" i="13" s="1"/>
  <c r="W34" i="13" a="1"/>
  <c r="W34" i="13" s="1"/>
  <c r="W33" i="13" a="1"/>
  <c r="W33" i="13" s="1"/>
  <c r="W35" i="13" a="1"/>
  <c r="W35" i="13" s="1"/>
  <c r="I37" i="13" a="1"/>
  <c r="I37" i="13" s="1"/>
  <c r="I36" i="13" a="1"/>
  <c r="I36" i="13" s="1"/>
  <c r="I38" i="13" a="1"/>
  <c r="I38" i="13" s="1"/>
  <c r="I39" i="13" a="1"/>
  <c r="I39" i="13" s="1"/>
  <c r="H6" i="18" a="1"/>
  <c r="H6" i="18" s="1"/>
  <c r="I4" i="13" a="1"/>
  <c r="I4" i="13" s="1"/>
  <c r="I6" i="13" a="1"/>
  <c r="I6" i="13" s="1"/>
  <c r="I5" i="13" a="1"/>
  <c r="I5" i="13" s="1"/>
  <c r="I7" i="13" a="1"/>
  <c r="I7" i="13" s="1"/>
  <c r="S29" i="13" a="1"/>
  <c r="S29" i="13" s="1"/>
  <c r="S30" i="13" a="1"/>
  <c r="S30" i="13" s="1"/>
  <c r="S31" i="13" a="1"/>
  <c r="S31" i="13" s="1"/>
  <c r="S28" i="13" a="1"/>
  <c r="S28" i="13" s="1"/>
  <c r="E33" i="13" a="1"/>
  <c r="E33" i="13" s="1"/>
  <c r="E32" i="13" a="1"/>
  <c r="E32" i="13" s="1"/>
  <c r="E34" i="13" a="1"/>
  <c r="E34" i="13" s="1"/>
  <c r="E35" i="13" a="1"/>
  <c r="E35" i="13" s="1"/>
  <c r="T36" i="13" a="1"/>
  <c r="T36" i="13" s="1"/>
  <c r="T38" i="13" a="1"/>
  <c r="T38" i="13" s="1"/>
  <c r="T37" i="13" a="1"/>
  <c r="T37" i="13" s="1"/>
  <c r="T39" i="13" a="1"/>
  <c r="T39" i="13" s="1"/>
  <c r="T5" i="13" a="1"/>
  <c r="T5" i="13" s="1"/>
  <c r="T6" i="13" a="1"/>
  <c r="T6" i="13" s="1"/>
  <c r="T4" i="13" a="1"/>
  <c r="T4" i="13" s="1"/>
  <c r="T7" i="13" a="1"/>
  <c r="T7" i="13" s="1"/>
  <c r="F8" i="13" a="1"/>
  <c r="F8" i="13" s="1"/>
  <c r="F9" i="13" a="1"/>
  <c r="F9" i="13" s="1"/>
  <c r="F10" i="13" a="1"/>
  <c r="F10" i="13" s="1"/>
  <c r="F11" i="13" a="1"/>
  <c r="F11" i="13" s="1"/>
  <c r="U15" i="13" a="1"/>
  <c r="U15" i="13" s="1"/>
  <c r="U13" i="13" a="1"/>
  <c r="U13" i="13" s="1"/>
  <c r="U12" i="13" a="1"/>
  <c r="U12" i="13" s="1"/>
  <c r="U14" i="13" a="1"/>
  <c r="U14" i="13" s="1"/>
  <c r="G17" i="13" a="1"/>
  <c r="G17" i="13" s="1"/>
  <c r="G19" i="13" a="1"/>
  <c r="G19" i="13" s="1"/>
  <c r="G18" i="13" a="1"/>
  <c r="G18" i="13" s="1"/>
  <c r="G16" i="13" a="1"/>
  <c r="G16" i="13" s="1"/>
  <c r="V22" i="13" a="1"/>
  <c r="V22" i="13" s="1"/>
  <c r="V23" i="13" a="1"/>
  <c r="V23" i="13" s="1"/>
  <c r="V20" i="13" a="1"/>
  <c r="V20" i="13" s="1"/>
  <c r="V21" i="13" a="1"/>
  <c r="V21" i="13" s="1"/>
  <c r="H27" i="13" a="1"/>
  <c r="H27" i="13" s="1"/>
  <c r="H25" i="13" a="1"/>
  <c r="H25" i="13" s="1"/>
  <c r="H24" i="13" a="1"/>
  <c r="H24" i="13" s="1"/>
  <c r="H26" i="13" a="1"/>
  <c r="H26" i="13" s="1"/>
  <c r="W30" i="13" a="1"/>
  <c r="W30" i="13" s="1"/>
  <c r="W31" i="13" a="1"/>
  <c r="W31" i="13" s="1"/>
  <c r="W28" i="13" a="1"/>
  <c r="W28" i="13" s="1"/>
  <c r="W29" i="13" a="1"/>
  <c r="W29" i="13" s="1"/>
  <c r="I33" i="13" a="1"/>
  <c r="I33" i="13" s="1"/>
  <c r="I34" i="13" a="1"/>
  <c r="I34" i="13" s="1"/>
  <c r="I35" i="13" a="1"/>
  <c r="I35" i="13" s="1"/>
  <c r="I32" i="13" a="1"/>
  <c r="I32" i="13" s="1"/>
  <c r="S8" i="13" a="1"/>
  <c r="S8" i="13" s="1"/>
  <c r="S9" i="13" a="1"/>
  <c r="S9" i="13" s="1"/>
  <c r="S11" i="13" a="1"/>
  <c r="S11" i="13" s="1"/>
  <c r="S10" i="13" a="1"/>
  <c r="S10" i="13" s="1"/>
  <c r="F20" i="13" a="1"/>
  <c r="F20" i="13" s="1"/>
  <c r="F22" i="13" a="1"/>
  <c r="F22" i="13" s="1"/>
  <c r="F21" i="13" a="1"/>
  <c r="F21" i="13" s="1"/>
  <c r="F23" i="13" a="1"/>
  <c r="F23" i="13" s="1"/>
  <c r="H38" i="13" a="1"/>
  <c r="H38" i="13" s="1"/>
  <c r="H39" i="13" a="1"/>
  <c r="H39" i="13" s="1"/>
  <c r="H36" i="13" a="1"/>
  <c r="H36" i="13" s="1"/>
  <c r="H37" i="13" a="1"/>
  <c r="H37" i="13" s="1"/>
  <c r="E9" i="13" a="1"/>
  <c r="E9" i="13" s="1"/>
  <c r="E8" i="13" a="1"/>
  <c r="E8" i="13" s="1"/>
  <c r="E11" i="13" a="1"/>
  <c r="E11" i="13" s="1"/>
  <c r="E10" i="13" a="1"/>
  <c r="E10" i="13" s="1"/>
  <c r="G24" i="13" a="1"/>
  <c r="G24" i="13" s="1"/>
  <c r="G25" i="13" a="1"/>
  <c r="G25" i="13" s="1"/>
  <c r="G26" i="13" a="1"/>
  <c r="G26" i="13" s="1"/>
  <c r="G27" i="13" a="1"/>
  <c r="G27" i="13" s="1"/>
  <c r="W36" i="13" a="1"/>
  <c r="W36" i="13" s="1"/>
  <c r="W38" i="13" a="1"/>
  <c r="W38" i="13" s="1"/>
  <c r="W37" i="13" a="1"/>
  <c r="W37" i="13" s="1"/>
  <c r="W39" i="13" a="1"/>
  <c r="W39" i="13" s="1"/>
  <c r="S32" i="13" a="1"/>
  <c r="S32" i="13" s="1"/>
  <c r="S33" i="13" a="1"/>
  <c r="S33" i="13" s="1"/>
  <c r="S34" i="13" a="1"/>
  <c r="S34" i="13" s="1"/>
  <c r="S35" i="13" a="1"/>
  <c r="S35" i="13" s="1"/>
  <c r="F15" i="13" a="1"/>
  <c r="F15" i="13" s="1"/>
  <c r="F12" i="13" a="1"/>
  <c r="F12" i="13" s="1"/>
  <c r="F14" i="13" a="1"/>
  <c r="F14" i="13" s="1"/>
  <c r="F13" i="13" a="1"/>
  <c r="F13" i="13" s="1"/>
  <c r="F39" i="13" a="1"/>
  <c r="F39" i="13" s="1"/>
  <c r="F37" i="13" a="1"/>
  <c r="F37" i="13" s="1"/>
  <c r="F38" i="13" a="1"/>
  <c r="F38" i="13" s="1"/>
  <c r="F36" i="13" a="1"/>
  <c r="F36" i="13" s="1"/>
  <c r="G14" i="13" a="1"/>
  <c r="G14" i="13" s="1"/>
  <c r="G12" i="13" a="1"/>
  <c r="G12" i="13" s="1"/>
  <c r="G13" i="13" a="1"/>
  <c r="G13" i="13" s="1"/>
  <c r="G15" i="13" a="1"/>
  <c r="G15" i="13" s="1"/>
  <c r="H21" i="13" a="1"/>
  <c r="H21" i="13" s="1"/>
  <c r="H22" i="13" a="1"/>
  <c r="H22" i="13" s="1"/>
  <c r="H23" i="13" a="1"/>
  <c r="H23" i="13" s="1"/>
  <c r="H20" i="13" a="1"/>
  <c r="H20" i="13" s="1"/>
  <c r="E24" i="13" a="1"/>
  <c r="E24" i="13" s="1"/>
  <c r="E27" i="13" a="1"/>
  <c r="E27" i="13" s="1"/>
  <c r="E25" i="13" a="1"/>
  <c r="E25" i="13" s="1"/>
  <c r="E26" i="13" a="1"/>
  <c r="E26" i="13" s="1"/>
  <c r="T30" i="13" a="1"/>
  <c r="T30" i="13" s="1"/>
  <c r="T31" i="13" a="1"/>
  <c r="T31" i="13" s="1"/>
  <c r="T28" i="13" a="1"/>
  <c r="T28" i="13" s="1"/>
  <c r="T29" i="13" a="1"/>
  <c r="T29" i="13" s="1"/>
  <c r="F33" i="13" a="1"/>
  <c r="F33" i="13" s="1"/>
  <c r="F34" i="13" a="1"/>
  <c r="F34" i="13" s="1"/>
  <c r="F32" i="13" a="1"/>
  <c r="F32" i="13" s="1"/>
  <c r="F35" i="13" a="1"/>
  <c r="F35" i="13" s="1"/>
  <c r="U36" i="13" a="1"/>
  <c r="U36" i="13" s="1"/>
  <c r="U37" i="13" a="1"/>
  <c r="U37" i="13" s="1"/>
  <c r="U38" i="13" a="1"/>
  <c r="U38" i="13" s="1"/>
  <c r="U39" i="13" a="1"/>
  <c r="U39" i="13" s="1"/>
  <c r="U5" i="13" a="1"/>
  <c r="U5" i="13" s="1"/>
  <c r="U6" i="13" a="1"/>
  <c r="U6" i="13" s="1"/>
  <c r="U4" i="13" a="1"/>
  <c r="U4" i="13" s="1"/>
  <c r="U7" i="13" a="1"/>
  <c r="U7" i="13" s="1"/>
  <c r="G10" i="13" a="1"/>
  <c r="G10" i="13" s="1"/>
  <c r="G11" i="13" a="1"/>
  <c r="G11" i="13" s="1"/>
  <c r="G8" i="13" a="1"/>
  <c r="G8" i="13" s="1"/>
  <c r="G9" i="13" a="1"/>
  <c r="G9" i="13" s="1"/>
  <c r="V15" i="13" a="1"/>
  <c r="V15" i="13" s="1"/>
  <c r="V12" i="13" a="1"/>
  <c r="V12" i="13" s="1"/>
  <c r="V13" i="13" a="1"/>
  <c r="V13" i="13" s="1"/>
  <c r="V14" i="13" a="1"/>
  <c r="V14" i="13" s="1"/>
  <c r="H17" i="13" a="1"/>
  <c r="H17" i="13" s="1"/>
  <c r="H16" i="13" a="1"/>
  <c r="H16" i="13" s="1"/>
  <c r="H19" i="13" a="1"/>
  <c r="H19" i="13" s="1"/>
  <c r="H18" i="13" a="1"/>
  <c r="H18" i="13" s="1"/>
  <c r="W21" i="13" a="1"/>
  <c r="W21" i="13" s="1"/>
  <c r="W22" i="13" a="1"/>
  <c r="W22" i="13" s="1"/>
  <c r="W20" i="13" a="1"/>
  <c r="W20" i="13" s="1"/>
  <c r="W23" i="13" a="1"/>
  <c r="W23" i="13" s="1"/>
  <c r="I27" i="13" a="1"/>
  <c r="I27" i="13" s="1"/>
  <c r="I24" i="13" a="1"/>
  <c r="I24" i="13" s="1"/>
  <c r="I25" i="13" a="1"/>
  <c r="I25" i="13" s="1"/>
  <c r="I26" i="13" a="1"/>
  <c r="I26" i="13" s="1"/>
  <c r="E14" i="13" a="1"/>
  <c r="E14" i="13" s="1"/>
  <c r="E15" i="13" a="1"/>
  <c r="E15" i="13" s="1"/>
  <c r="E13" i="13" a="1"/>
  <c r="E13" i="13" s="1"/>
  <c r="E12" i="13" a="1"/>
  <c r="E12" i="13" s="1"/>
  <c r="G31" i="13" a="1"/>
  <c r="G31" i="13" s="1"/>
  <c r="G28" i="13" a="1"/>
  <c r="G28" i="13" s="1"/>
  <c r="G29" i="13" a="1"/>
  <c r="G29" i="13" s="1"/>
  <c r="G30" i="13" a="1"/>
  <c r="G30" i="13" s="1"/>
  <c r="G3" i="18" a="1"/>
  <c r="G3" i="18" s="1"/>
  <c r="H6" i="13" a="1"/>
  <c r="H6" i="13" s="1"/>
  <c r="H4" i="13" a="1"/>
  <c r="H4" i="13" s="1"/>
  <c r="H5" i="13" a="1"/>
  <c r="H5" i="13" s="1"/>
  <c r="H7" i="13" a="1"/>
  <c r="H7" i="13" s="1"/>
  <c r="S7" i="13" a="1"/>
  <c r="S7" i="13" s="1"/>
  <c r="S5" i="13" a="1"/>
  <c r="S5" i="13" s="1"/>
  <c r="S6" i="13" a="1"/>
  <c r="S6" i="13" s="1"/>
  <c r="S4" i="13" a="1"/>
  <c r="S4" i="13" s="1"/>
  <c r="U21" i="13" a="1"/>
  <c r="U21" i="13" s="1"/>
  <c r="U22" i="13" a="1"/>
  <c r="U22" i="13" s="1"/>
  <c r="U23" i="13" a="1"/>
  <c r="U23" i="13" s="1"/>
  <c r="U20" i="13" a="1"/>
  <c r="U20" i="13" s="1"/>
  <c r="W4" i="13" a="1"/>
  <c r="W4" i="13" s="1"/>
  <c r="W5" i="13" a="1"/>
  <c r="W5" i="13" s="1"/>
  <c r="W6" i="13" a="1"/>
  <c r="W6" i="13" s="1"/>
  <c r="W7" i="13" a="1"/>
  <c r="W7" i="13" s="1"/>
  <c r="E36" i="13" a="1"/>
  <c r="E36" i="13" s="1"/>
  <c r="E37" i="13" a="1"/>
  <c r="E37" i="13" s="1"/>
  <c r="E38" i="13" a="1"/>
  <c r="E38" i="13" s="1"/>
  <c r="E39" i="13" a="1"/>
  <c r="E39" i="13" s="1"/>
  <c r="S26" i="13" a="1"/>
  <c r="S26" i="13" s="1"/>
  <c r="S24" i="13" a="1"/>
  <c r="S24" i="13" s="1"/>
  <c r="S25" i="13" a="1"/>
  <c r="S25" i="13" s="1"/>
  <c r="S27" i="13" a="1"/>
  <c r="S27" i="13" s="1"/>
  <c r="T33" i="13" a="1"/>
  <c r="T33" i="13" s="1"/>
  <c r="T34" i="13" a="1"/>
  <c r="T34" i="13" s="1"/>
  <c r="T32" i="13" a="1"/>
  <c r="T32" i="13" s="1"/>
  <c r="T35" i="13" a="1"/>
  <c r="T35" i="13" s="1"/>
  <c r="U8" i="13" a="1"/>
  <c r="U8" i="13" s="1"/>
  <c r="U9" i="13" a="1"/>
  <c r="U9" i="13" s="1"/>
  <c r="U10" i="13" a="1"/>
  <c r="U10" i="13" s="1"/>
  <c r="U11" i="13" a="1"/>
  <c r="U11" i="13" s="1"/>
  <c r="W24" i="13" a="1"/>
  <c r="W24" i="13" s="1"/>
  <c r="W25" i="13" a="1"/>
  <c r="W25" i="13" s="1"/>
  <c r="W26" i="13" a="1"/>
  <c r="W26" i="13" s="1"/>
  <c r="W27" i="13" a="1"/>
  <c r="W27" i="13" s="1"/>
  <c r="S18" i="13" a="1"/>
  <c r="S18" i="13" s="1"/>
  <c r="S19" i="13" a="1"/>
  <c r="S19" i="13" s="1"/>
  <c r="S16" i="13" a="1"/>
  <c r="S16" i="13" s="1"/>
  <c r="S17" i="13" a="1"/>
  <c r="S17" i="13" s="1"/>
  <c r="T24" i="13" a="1"/>
  <c r="T24" i="13" s="1"/>
  <c r="T27" i="13" a="1"/>
  <c r="T27" i="13" s="1"/>
  <c r="T25" i="13" a="1"/>
  <c r="T25" i="13" s="1"/>
  <c r="T26" i="13" a="1"/>
  <c r="T26" i="13" s="1"/>
  <c r="U33" i="13" a="1"/>
  <c r="U33" i="13" s="1"/>
  <c r="U34" i="13" a="1"/>
  <c r="U34" i="13" s="1"/>
  <c r="U32" i="13" a="1"/>
  <c r="U32" i="13" s="1"/>
  <c r="U35" i="13" a="1"/>
  <c r="U35" i="13" s="1"/>
  <c r="F4" i="18" a="1"/>
  <c r="F4" i="18" s="1"/>
  <c r="G4" i="13" a="1"/>
  <c r="G4" i="13" s="1"/>
  <c r="G5" i="13" a="1"/>
  <c r="G5" i="13" s="1"/>
  <c r="G6" i="13" a="1"/>
  <c r="G6" i="13" s="1"/>
  <c r="G7" i="13" a="1"/>
  <c r="G7" i="13" s="1"/>
  <c r="V10" i="13" a="1"/>
  <c r="V10" i="13" s="1"/>
  <c r="V8" i="13" a="1"/>
  <c r="V8" i="13" s="1"/>
  <c r="V9" i="13" a="1"/>
  <c r="V9" i="13" s="1"/>
  <c r="V11" i="13" a="1"/>
  <c r="V11" i="13" s="1"/>
  <c r="H15" i="13" a="1"/>
  <c r="H15" i="13" s="1"/>
  <c r="H12" i="13" a="1"/>
  <c r="H12" i="13" s="1"/>
  <c r="H13" i="13" a="1"/>
  <c r="H13" i="13" s="1"/>
  <c r="H14" i="13" a="1"/>
  <c r="H14" i="13" s="1"/>
  <c r="W17" i="13" a="1"/>
  <c r="W17" i="13" s="1"/>
  <c r="W18" i="13" a="1"/>
  <c r="W18" i="13" s="1"/>
  <c r="W19" i="13" a="1"/>
  <c r="W19" i="13" s="1"/>
  <c r="W16" i="13" a="1"/>
  <c r="W16" i="13" s="1"/>
  <c r="I20" i="13" a="1"/>
  <c r="I20" i="13" s="1"/>
  <c r="I21" i="13" a="1"/>
  <c r="I21" i="13" s="1"/>
  <c r="I22" i="13" a="1"/>
  <c r="I22" i="13" s="1"/>
  <c r="I23" i="13" a="1"/>
  <c r="I23" i="13" s="1"/>
  <c r="U25" i="13" a="1"/>
  <c r="U25" i="13" s="1"/>
  <c r="U26" i="13" a="1"/>
  <c r="U26" i="13" s="1"/>
  <c r="U27" i="13" a="1"/>
  <c r="U27" i="13" s="1"/>
  <c r="U24" i="13" a="1"/>
  <c r="U24" i="13" s="1"/>
  <c r="I14" i="13" a="1"/>
  <c r="I14" i="13" s="1"/>
  <c r="I15" i="13" a="1"/>
  <c r="I15" i="13" s="1"/>
  <c r="I12" i="13" a="1"/>
  <c r="I12" i="13" s="1"/>
  <c r="I13" i="13" a="1"/>
  <c r="I13" i="13" s="1"/>
  <c r="S36" i="13" a="1"/>
  <c r="S36" i="13" s="1"/>
  <c r="S37" i="13" a="1"/>
  <c r="S37" i="13" s="1"/>
  <c r="S38" i="13" a="1"/>
  <c r="S38" i="13" s="1"/>
  <c r="S39" i="13" a="1"/>
  <c r="S39" i="13" s="1"/>
  <c r="F18" i="13" a="1"/>
  <c r="F18" i="13" s="1"/>
  <c r="F16" i="13" a="1"/>
  <c r="F16" i="13" s="1"/>
  <c r="F17" i="13" a="1"/>
  <c r="F17" i="13" s="1"/>
  <c r="F19" i="13" a="1"/>
  <c r="F19" i="13" s="1"/>
  <c r="H32" i="13" a="1"/>
  <c r="H32" i="13" s="1"/>
  <c r="H33" i="13" a="1"/>
  <c r="H33" i="13" s="1"/>
  <c r="H34" i="13" a="1"/>
  <c r="H34" i="13" s="1"/>
  <c r="H35" i="13" a="1"/>
  <c r="H35" i="13" s="1"/>
  <c r="D5" i="18" a="1"/>
  <c r="D5" i="18" s="1"/>
  <c r="E7" i="13" a="1"/>
  <c r="E7" i="13" s="1"/>
  <c r="E4" i="13" a="1"/>
  <c r="E4" i="13" s="1"/>
  <c r="E6" i="13" a="1"/>
  <c r="E6" i="13" s="1"/>
  <c r="E5" i="13" a="1"/>
  <c r="E5" i="13" s="1"/>
  <c r="E29" i="13" a="1"/>
  <c r="E29" i="13" s="1"/>
  <c r="E30" i="13" a="1"/>
  <c r="E30" i="13" s="1"/>
  <c r="E28" i="13" a="1"/>
  <c r="E28" i="13" s="1"/>
  <c r="E31" i="13" a="1"/>
  <c r="E31" i="13" s="1"/>
  <c r="E5" i="18" a="1"/>
  <c r="E5" i="18" s="1"/>
  <c r="F5" i="13" a="1"/>
  <c r="F5" i="13" s="1"/>
  <c r="F4" i="13" a="1"/>
  <c r="F4" i="13" s="1"/>
  <c r="F6" i="13" a="1"/>
  <c r="F6" i="13" s="1"/>
  <c r="F7" i="13" a="1"/>
  <c r="F7" i="13" s="1"/>
  <c r="V17" i="13" a="1"/>
  <c r="V17" i="13" s="1"/>
  <c r="V16" i="13" a="1"/>
  <c r="V16" i="13" s="1"/>
  <c r="V18" i="13" a="1"/>
  <c r="V18" i="13" s="1"/>
  <c r="V19" i="13" a="1"/>
  <c r="V19" i="13" s="1"/>
  <c r="I28" i="13" a="1"/>
  <c r="I28" i="13" s="1"/>
  <c r="I29" i="13" a="1"/>
  <c r="I29" i="13" s="1"/>
  <c r="I30" i="13" a="1"/>
  <c r="I30" i="13" s="1"/>
  <c r="I31" i="13" a="1"/>
  <c r="I31" i="13" s="1"/>
  <c r="S21" i="13" a="1"/>
  <c r="S21" i="13" s="1"/>
  <c r="S23" i="13" a="1"/>
  <c r="S23" i="13" s="1"/>
  <c r="S22" i="13" a="1"/>
  <c r="S22" i="13" s="1"/>
  <c r="S20" i="13" a="1"/>
  <c r="S20" i="13" s="1"/>
  <c r="E22" i="13" a="1"/>
  <c r="E22" i="13" s="1"/>
  <c r="E23" i="13" a="1"/>
  <c r="E23" i="13" s="1"/>
  <c r="E21" i="13" a="1"/>
  <c r="E21" i="13" s="1"/>
  <c r="E20" i="13" a="1"/>
  <c r="E20" i="13" s="1"/>
  <c r="F28" i="13" a="1"/>
  <c r="F28" i="13" s="1"/>
  <c r="F30" i="13" a="1"/>
  <c r="F30" i="13" s="1"/>
  <c r="F29" i="13" a="1"/>
  <c r="F29" i="13" s="1"/>
  <c r="F31" i="13" a="1"/>
  <c r="F31" i="13" s="1"/>
  <c r="G38" i="13" a="1"/>
  <c r="G38" i="13" s="1"/>
  <c r="G39" i="13" a="1"/>
  <c r="G39" i="13" s="1"/>
  <c r="G37" i="13" a="1"/>
  <c r="G37" i="13" s="1"/>
  <c r="G36" i="13" a="1"/>
  <c r="G36" i="13" s="1"/>
  <c r="S14" i="13" a="1"/>
  <c r="S14" i="13" s="1"/>
  <c r="S15" i="13" a="1"/>
  <c r="S15" i="13" s="1"/>
  <c r="S12" i="13" a="1"/>
  <c r="S12" i="13" s="1"/>
  <c r="S13" i="13" a="1"/>
  <c r="S13" i="13" s="1"/>
  <c r="E16" i="13" a="1"/>
  <c r="E16" i="13" s="1"/>
  <c r="E19" i="13" a="1"/>
  <c r="E19" i="13" s="1"/>
  <c r="E17" i="13" a="1"/>
  <c r="E17" i="13" s="1"/>
  <c r="E18" i="13" a="1"/>
  <c r="E18" i="13" s="1"/>
  <c r="T22" i="13" a="1"/>
  <c r="T22" i="13" s="1"/>
  <c r="T23" i="13" a="1"/>
  <c r="T23" i="13" s="1"/>
  <c r="T20" i="13" a="1"/>
  <c r="T20" i="13" s="1"/>
  <c r="T21" i="13" a="1"/>
  <c r="T21" i="13" s="1"/>
  <c r="F27" i="13" a="1"/>
  <c r="F27" i="13" s="1"/>
  <c r="F25" i="13" a="1"/>
  <c r="F25" i="13" s="1"/>
  <c r="F24" i="13" a="1"/>
  <c r="F24" i="13" s="1"/>
  <c r="F26" i="13" a="1"/>
  <c r="F26" i="13" s="1"/>
  <c r="U28" i="13" a="1"/>
  <c r="U28" i="13" s="1"/>
  <c r="U30" i="13" a="1"/>
  <c r="U30" i="13" s="1"/>
  <c r="U29" i="13" a="1"/>
  <c r="U29" i="13" s="1"/>
  <c r="U31" i="13" a="1"/>
  <c r="U31" i="13" s="1"/>
  <c r="G33" i="13" a="1"/>
  <c r="G33" i="13" s="1"/>
  <c r="G32" i="13" a="1"/>
  <c r="G32" i="13" s="1"/>
  <c r="G35" i="13" a="1"/>
  <c r="G35" i="13" s="1"/>
  <c r="G34" i="13" a="1"/>
  <c r="G34" i="13" s="1"/>
  <c r="V36" i="13" a="1"/>
  <c r="V36" i="13" s="1"/>
  <c r="V38" i="13" a="1"/>
  <c r="V38" i="13" s="1"/>
  <c r="V37" i="13" a="1"/>
  <c r="V37" i="13" s="1"/>
  <c r="V39" i="13" a="1"/>
  <c r="V39" i="13" s="1"/>
  <c r="V7" i="13" a="1"/>
  <c r="V7" i="13" s="1"/>
  <c r="V4" i="13" a="1"/>
  <c r="V4" i="13" s="1"/>
  <c r="V5" i="13" a="1"/>
  <c r="V5" i="13" s="1"/>
  <c r="V6" i="13" a="1"/>
  <c r="V6" i="13" s="1"/>
  <c r="H9" i="13" a="1"/>
  <c r="H9" i="13" s="1"/>
  <c r="H10" i="13" a="1"/>
  <c r="H10" i="13" s="1"/>
  <c r="H11" i="13" a="1"/>
  <c r="H11" i="13" s="1"/>
  <c r="H8" i="13" a="1"/>
  <c r="H8" i="13" s="1"/>
  <c r="W12" i="13" a="1"/>
  <c r="W12" i="13" s="1"/>
  <c r="W13" i="13" a="1"/>
  <c r="W13" i="13" s="1"/>
  <c r="W15" i="13" a="1"/>
  <c r="W15" i="13" s="1"/>
  <c r="W14" i="13" a="1"/>
  <c r="W14" i="13" s="1"/>
  <c r="I18" i="13" a="1"/>
  <c r="I18" i="13" s="1"/>
  <c r="I16" i="13" a="1"/>
  <c r="I16" i="13" s="1"/>
  <c r="I17" i="13" a="1"/>
  <c r="I17" i="13" s="1"/>
  <c r="I19" i="13" a="1"/>
  <c r="I19" i="13" s="1"/>
  <c r="H3" i="18" a="1"/>
  <c r="H3" i="18" s="1"/>
  <c r="D3" i="18" a="1"/>
  <c r="D3" i="18" s="1"/>
  <c r="F5" i="18" a="1"/>
  <c r="F5" i="18" s="1"/>
  <c r="G5" i="18" a="1"/>
  <c r="G5" i="18" s="1"/>
  <c r="H5" i="18" a="1"/>
  <c r="H5" i="18" s="1"/>
  <c r="D4" i="18" a="1"/>
  <c r="D4" i="18" s="1"/>
  <c r="D6" i="18" a="1"/>
  <c r="D6" i="18" s="1"/>
  <c r="E3" i="18" a="1"/>
  <c r="E3" i="18" s="1"/>
  <c r="H4" i="18" a="1"/>
  <c r="H4" i="18" s="1"/>
  <c r="F6" i="18" a="1"/>
  <c r="F6" i="18" s="1"/>
  <c r="E6" i="18" a="1"/>
  <c r="E6" i="18" s="1"/>
  <c r="F3" i="18" a="1"/>
  <c r="F3" i="18" s="1"/>
  <c r="G6" i="18" a="1"/>
  <c r="G6" i="18" s="1"/>
  <c r="E4" i="18" a="1"/>
  <c r="E4" i="18" s="1"/>
  <c r="G4" i="18" a="1"/>
  <c r="G4" i="18" s="1"/>
  <c r="P2" i="1"/>
  <c r="P6" i="1"/>
  <c r="P8" i="1"/>
  <c r="P4" i="1"/>
  <c r="P10" i="1"/>
  <c r="P9" i="1"/>
  <c r="P7" i="1"/>
  <c r="P5" i="1"/>
  <c r="P13" i="1"/>
  <c r="P11" i="1"/>
  <c r="P17" i="1"/>
  <c r="P22" i="1"/>
  <c r="P24" i="1"/>
  <c r="P12" i="1"/>
  <c r="P15" i="1"/>
  <c r="P19" i="1"/>
  <c r="P25" i="1"/>
  <c r="P21" i="1"/>
  <c r="P20" i="1"/>
  <c r="P18" i="1"/>
  <c r="P16" i="1"/>
  <c r="P14" i="1"/>
  <c r="P29" i="1"/>
  <c r="P37" i="1"/>
  <c r="P39" i="1"/>
  <c r="P38" i="1"/>
  <c r="P35" i="1"/>
  <c r="P40" i="1"/>
  <c r="P34" i="1"/>
  <c r="P36" i="1"/>
  <c r="P28" i="1"/>
  <c r="P32" i="1"/>
  <c r="P42" i="1"/>
  <c r="P41" i="1"/>
  <c r="P27" i="1"/>
  <c r="P47" i="1"/>
  <c r="P43" i="1"/>
  <c r="P48" i="1"/>
  <c r="P50" i="1"/>
  <c r="P49" i="1"/>
  <c r="P51" i="1"/>
  <c r="P52" i="1"/>
  <c r="P54" i="1"/>
  <c r="P57" i="1"/>
  <c r="P56" i="1"/>
  <c r="P55" i="1"/>
  <c r="P58" i="1"/>
  <c r="P26" i="1"/>
  <c r="P33" i="1"/>
  <c r="P23" i="1"/>
  <c r="P45" i="1"/>
  <c r="P44" i="1"/>
  <c r="P3" i="1"/>
  <c r="P31" i="1"/>
  <c r="P30" i="1"/>
  <c r="P59" i="1"/>
  <c r="P53" i="1"/>
  <c r="P46" i="1"/>
  <c r="P60" i="1"/>
  <c r="P61" i="1"/>
  <c r="P62" i="1"/>
  <c r="P63" i="1"/>
  <c r="P64" i="1"/>
  <c r="P65" i="1"/>
  <c r="P66" i="1"/>
  <c r="P67" i="1"/>
  <c r="P68" i="1"/>
  <c r="P69" i="1"/>
  <c r="P70" i="1"/>
  <c r="P71" i="1"/>
  <c r="P72" i="1"/>
  <c r="P73" i="1"/>
  <c r="P74" i="1"/>
  <c r="P75" i="1"/>
  <c r="J17" i="13" l="1"/>
  <c r="J21" i="13"/>
  <c r="J5" i="13"/>
  <c r="K5" i="13" s="1"/>
  <c r="X36" i="13"/>
  <c r="X19" i="13"/>
  <c r="X24" i="13"/>
  <c r="X11" i="13"/>
  <c r="Y11" i="13" s="1"/>
  <c r="J34" i="13"/>
  <c r="J27" i="13"/>
  <c r="X13" i="13"/>
  <c r="J10" i="13"/>
  <c r="X22" i="13"/>
  <c r="X20" i="13"/>
  <c r="J7" i="13"/>
  <c r="X34" i="13"/>
  <c r="J19" i="13"/>
  <c r="J23" i="13"/>
  <c r="J6" i="13"/>
  <c r="X18" i="13"/>
  <c r="X26" i="13"/>
  <c r="X7" i="13"/>
  <c r="X33" i="13"/>
  <c r="X9" i="13"/>
  <c r="J32" i="13"/>
  <c r="J16" i="13"/>
  <c r="J22" i="13"/>
  <c r="J4" i="13"/>
  <c r="K4" i="13" s="1"/>
  <c r="J39" i="13"/>
  <c r="X32" i="13"/>
  <c r="X8" i="13"/>
  <c r="J33" i="13"/>
  <c r="J12" i="13"/>
  <c r="X28" i="13"/>
  <c r="X12" i="13"/>
  <c r="J37" i="13"/>
  <c r="J25" i="13"/>
  <c r="J11" i="13"/>
  <c r="J36" i="13"/>
  <c r="X30" i="13"/>
  <c r="X14" i="13"/>
  <c r="X21" i="13"/>
  <c r="J30" i="13"/>
  <c r="X38" i="13"/>
  <c r="X17" i="13"/>
  <c r="X27" i="13"/>
  <c r="X4" i="13"/>
  <c r="J14" i="13"/>
  <c r="J24" i="13"/>
  <c r="J9" i="13"/>
  <c r="X29" i="13"/>
  <c r="X5" i="13"/>
  <c r="J38" i="13"/>
  <c r="J26" i="13"/>
  <c r="J31" i="13"/>
  <c r="J13" i="13"/>
  <c r="X31" i="13"/>
  <c r="X15" i="13"/>
  <c r="X23" i="13"/>
  <c r="J28" i="13"/>
  <c r="X39" i="13"/>
  <c r="J15" i="13"/>
  <c r="J8" i="13"/>
  <c r="J18" i="13"/>
  <c r="K18" i="13" s="1"/>
  <c r="J20" i="13"/>
  <c r="J29" i="13"/>
  <c r="X37" i="13"/>
  <c r="X16" i="13"/>
  <c r="X25" i="13"/>
  <c r="X6" i="13"/>
  <c r="X35" i="13"/>
  <c r="X10" i="13"/>
  <c r="J35" i="13"/>
  <c r="I5" i="18"/>
  <c r="J5" i="18" s="1"/>
  <c r="K5" i="18" s="1"/>
  <c r="I6" i="18"/>
  <c r="J6" i="18" s="1"/>
  <c r="K6" i="18" s="1"/>
  <c r="I4" i="18"/>
  <c r="J4" i="18" s="1"/>
  <c r="K4" i="18" s="1"/>
  <c r="I3" i="18"/>
  <c r="J3" i="18" s="1"/>
  <c r="K3" i="18" s="1"/>
  <c r="Y19" i="13"/>
  <c r="M5" i="13" l="1"/>
  <c r="K20" i="13"/>
  <c r="L4" i="18"/>
  <c r="L6" i="18"/>
  <c r="L3" i="18"/>
  <c r="K14" i="13"/>
  <c r="L5" i="18"/>
  <c r="Y5" i="13"/>
  <c r="Y20" i="13"/>
  <c r="K6" i="13"/>
  <c r="Y23" i="13"/>
  <c r="K19" i="13"/>
  <c r="K26" i="13"/>
  <c r="Y29" i="13"/>
  <c r="Y28" i="13"/>
  <c r="Y4" i="13"/>
  <c r="K17" i="13"/>
  <c r="K24" i="13"/>
  <c r="Y25" i="13"/>
  <c r="K38" i="13"/>
  <c r="Y26" i="13"/>
  <c r="K27" i="13"/>
  <c r="K7" i="13"/>
  <c r="K28" i="13"/>
  <c r="Y24" i="13"/>
  <c r="K21" i="13"/>
  <c r="K34" i="13"/>
  <c r="K33" i="13"/>
  <c r="Y6" i="13"/>
  <c r="Y27" i="13"/>
  <c r="Y22" i="13"/>
  <c r="K8" i="13"/>
  <c r="K9" i="13"/>
  <c r="K35" i="13"/>
  <c r="Y14" i="13"/>
  <c r="Y10" i="13"/>
  <c r="Y39" i="13"/>
  <c r="K23" i="13"/>
  <c r="K22" i="13"/>
  <c r="K32" i="13"/>
  <c r="Y12" i="13"/>
  <c r="Y8" i="13"/>
  <c r="K39" i="13"/>
  <c r="Y32" i="13"/>
  <c r="K30" i="13"/>
  <c r="Y15" i="13"/>
  <c r="Y30" i="13"/>
  <c r="K25" i="13"/>
  <c r="K13" i="13"/>
  <c r="Y35" i="13"/>
  <c r="Y16" i="13"/>
  <c r="Y7" i="13"/>
  <c r="Y38" i="13"/>
  <c r="Y33" i="13"/>
  <c r="K16" i="13"/>
  <c r="K36" i="13"/>
  <c r="Y21" i="13"/>
  <c r="K15" i="13"/>
  <c r="M4" i="13"/>
  <c r="Y34" i="13"/>
  <c r="K37" i="13"/>
  <c r="AA19" i="13"/>
  <c r="M18" i="13"/>
  <c r="K10" i="13"/>
  <c r="Y9" i="13"/>
  <c r="K11" i="13"/>
  <c r="AA11" i="13"/>
  <c r="Y36" i="13"/>
  <c r="Y17" i="13"/>
  <c r="Y18" i="13"/>
  <c r="K29" i="13"/>
  <c r="K12" i="13"/>
  <c r="Y13" i="13"/>
  <c r="K31" i="13"/>
  <c r="Y37" i="13"/>
  <c r="Y31" i="13"/>
  <c r="AB11" i="13" l="1"/>
  <c r="AA4" i="13"/>
  <c r="AA15" i="13"/>
  <c r="AA29" i="13"/>
  <c r="AA38" i="13"/>
  <c r="AA39" i="13"/>
  <c r="AA34" i="13"/>
  <c r="AA7" i="13"/>
  <c r="AA32" i="13"/>
  <c r="AA10" i="13"/>
  <c r="AA16" i="13"/>
  <c r="AA14" i="13"/>
  <c r="AA25" i="13"/>
  <c r="AA23" i="13"/>
  <c r="AA33" i="13"/>
  <c r="AA27" i="13"/>
  <c r="AA6" i="13"/>
  <c r="AA26" i="13"/>
  <c r="AA35" i="13"/>
  <c r="AA8" i="13"/>
  <c r="AA21" i="13"/>
  <c r="AA12" i="13"/>
  <c r="AA24" i="13"/>
  <c r="AA20" i="13"/>
  <c r="AA5" i="13"/>
  <c r="AB19" i="13"/>
  <c r="AA22" i="13"/>
  <c r="AA28" i="13"/>
  <c r="N5" i="13"/>
  <c r="M30" i="13"/>
  <c r="M33" i="13"/>
  <c r="M38" i="13"/>
  <c r="M19" i="13"/>
  <c r="M39" i="13"/>
  <c r="M15" i="13"/>
  <c r="M24" i="13"/>
  <c r="M17" i="13"/>
  <c r="M36" i="13"/>
  <c r="M25" i="13"/>
  <c r="M32" i="13"/>
  <c r="M8" i="13"/>
  <c r="M28" i="13"/>
  <c r="M37" i="13"/>
  <c r="M26" i="13"/>
  <c r="M34" i="13"/>
  <c r="M35" i="13"/>
  <c r="M21" i="13"/>
  <c r="M6" i="13"/>
  <c r="M20" i="13"/>
  <c r="M13" i="13"/>
  <c r="M9" i="13"/>
  <c r="M16" i="13"/>
  <c r="M22" i="13"/>
  <c r="M7" i="13"/>
  <c r="N18" i="13"/>
  <c r="M23" i="13"/>
  <c r="M14" i="13"/>
  <c r="N4" i="13"/>
  <c r="M27" i="13"/>
  <c r="AA30" i="13"/>
  <c r="AA31" i="13"/>
  <c r="M12" i="13"/>
  <c r="AA17" i="13"/>
  <c r="M11" i="13"/>
  <c r="AA37" i="13"/>
  <c r="AA13" i="13"/>
  <c r="AA18" i="13"/>
  <c r="AA9" i="13"/>
  <c r="AA36" i="13"/>
  <c r="M31" i="13"/>
  <c r="M29" i="13"/>
  <c r="M10" i="13"/>
  <c r="AB16" i="13" l="1"/>
  <c r="AB5" i="13"/>
  <c r="AB21" i="13"/>
  <c r="N25" i="13"/>
  <c r="N38" i="13"/>
  <c r="AB15" i="13"/>
  <c r="AB33" i="13"/>
  <c r="AB32" i="13"/>
  <c r="AB29" i="13"/>
  <c r="AB7" i="13"/>
  <c r="N35" i="13"/>
  <c r="AB26" i="13"/>
  <c r="AB34" i="13"/>
  <c r="AB4" i="13"/>
  <c r="N14" i="13"/>
  <c r="AB27" i="13"/>
  <c r="AB6" i="13"/>
  <c r="AB10" i="13"/>
  <c r="AB36" i="13"/>
  <c r="AB17" i="13"/>
  <c r="AB18" i="13"/>
  <c r="AB28" i="13"/>
  <c r="AB20" i="13"/>
  <c r="AB9" i="13"/>
  <c r="AB23" i="13"/>
  <c r="AB37" i="13"/>
  <c r="AB13" i="13"/>
  <c r="AB31" i="13"/>
  <c r="AB22" i="13"/>
  <c r="AB24" i="13"/>
  <c r="AB8" i="13"/>
  <c r="AB25" i="13"/>
  <c r="AB39" i="13"/>
  <c r="AB30" i="13"/>
  <c r="AB12" i="13"/>
  <c r="AB35" i="13"/>
  <c r="AB14" i="13"/>
  <c r="AB38" i="13"/>
  <c r="N6" i="13"/>
  <c r="N15" i="13"/>
  <c r="N33" i="13"/>
  <c r="N22" i="13"/>
  <c r="N39" i="13"/>
  <c r="N28" i="13"/>
  <c r="N24" i="13"/>
  <c r="N13" i="13"/>
  <c r="N30" i="13"/>
  <c r="N11" i="13"/>
  <c r="N20" i="13"/>
  <c r="N27" i="13"/>
  <c r="N7" i="13"/>
  <c r="N37" i="13"/>
  <c r="N36" i="13"/>
  <c r="N23" i="13"/>
  <c r="N9" i="13"/>
  <c r="N21" i="13"/>
  <c r="N19" i="13"/>
  <c r="N16" i="13"/>
  <c r="N34" i="13"/>
  <c r="N8" i="13"/>
  <c r="N10" i="13"/>
  <c r="N31" i="13"/>
  <c r="N12" i="13"/>
  <c r="N29" i="13"/>
  <c r="N26" i="13"/>
  <c r="N32" i="13"/>
  <c r="N17" i="13"/>
</calcChain>
</file>

<file path=xl/sharedStrings.xml><?xml version="1.0" encoding="utf-8"?>
<sst xmlns="http://schemas.openxmlformats.org/spreadsheetml/2006/main" count="3272" uniqueCount="268">
  <si>
    <t>evo</t>
  </si>
  <si>
    <t>type</t>
  </si>
  <si>
    <t>talent</t>
  </si>
  <si>
    <t>max</t>
  </si>
  <si>
    <t>Hero</t>
  </si>
  <si>
    <t>Type</t>
  </si>
  <si>
    <t>Evo</t>
  </si>
  <si>
    <t>1 - Legend</t>
  </si>
  <si>
    <t>Berserk</t>
  </si>
  <si>
    <t>Alchemist</t>
  </si>
  <si>
    <t>3 - Ordinary</t>
  </si>
  <si>
    <t>Devo</t>
  </si>
  <si>
    <t>2 - Elite</t>
  </si>
  <si>
    <t>Blade Shell</t>
  </si>
  <si>
    <t>Angel</t>
  </si>
  <si>
    <t>No</t>
  </si>
  <si>
    <t>Bulwark</t>
  </si>
  <si>
    <t>Arctica</t>
  </si>
  <si>
    <t>Condemnation</t>
  </si>
  <si>
    <t>Aries</t>
  </si>
  <si>
    <t>Corrode</t>
  </si>
  <si>
    <t>Assassin</t>
  </si>
  <si>
    <t>Deadly Strike</t>
  </si>
  <si>
    <t>Atlanticore</t>
  </si>
  <si>
    <t>Enlighten</t>
  </si>
  <si>
    <t>Beast Tamer</t>
  </si>
  <si>
    <t>Flame Guard</t>
  </si>
  <si>
    <t>Candy Kane</t>
  </si>
  <si>
    <t>Heaven's Wrath</t>
  </si>
  <si>
    <t>Champion</t>
  </si>
  <si>
    <t>Heavy Blow</t>
  </si>
  <si>
    <t>Cupid</t>
  </si>
  <si>
    <t>Life Drain</t>
  </si>
  <si>
    <t>Cyclops</t>
  </si>
  <si>
    <t>Psyshield</t>
  </si>
  <si>
    <t>Death Knight</t>
  </si>
  <si>
    <t>Revitalize</t>
  </si>
  <si>
    <t>Demogorgon</t>
  </si>
  <si>
    <t>Revive</t>
  </si>
  <si>
    <t>Destroyer</t>
  </si>
  <si>
    <t>Scatter</t>
  </si>
  <si>
    <t>Dracax</t>
  </si>
  <si>
    <t>Scorch</t>
  </si>
  <si>
    <t>Dread Drake</t>
  </si>
  <si>
    <t>Self Destruct</t>
  </si>
  <si>
    <t>Druid</t>
  </si>
  <si>
    <t>Slow Down</t>
  </si>
  <si>
    <t>Dryad</t>
  </si>
  <si>
    <t>Sprint</t>
  </si>
  <si>
    <t>Engineer</t>
  </si>
  <si>
    <t>Stone Skin</t>
  </si>
  <si>
    <t>Executioner</t>
  </si>
  <si>
    <t>Tenacity</t>
  </si>
  <si>
    <t>Frost Witch</t>
  </si>
  <si>
    <t>War God</t>
  </si>
  <si>
    <t>Ghoulem</t>
  </si>
  <si>
    <t>Grimfiend</t>
  </si>
  <si>
    <t>Grizzly Reaper</t>
  </si>
  <si>
    <t>Harpy Queen</t>
  </si>
  <si>
    <t>Heartbreaker</t>
  </si>
  <si>
    <t>Hill Giant</t>
  </si>
  <si>
    <t>Ice Demon</t>
  </si>
  <si>
    <t>Immortep</t>
  </si>
  <si>
    <t>Lady Leo</t>
  </si>
  <si>
    <t>Lil Nick</t>
  </si>
  <si>
    <t>Marauder</t>
  </si>
  <si>
    <t>Marksman</t>
  </si>
  <si>
    <t>Medusa</t>
  </si>
  <si>
    <t>Michael</t>
  </si>
  <si>
    <t>Minotaur Chieftain</t>
  </si>
  <si>
    <t>Moltanica</t>
  </si>
  <si>
    <t>Ninja</t>
  </si>
  <si>
    <t>Orksbane</t>
  </si>
  <si>
    <t>Pain-Da</t>
  </si>
  <si>
    <t>Paladin</t>
  </si>
  <si>
    <t>Phantom King</t>
  </si>
  <si>
    <t>Pixie</t>
  </si>
  <si>
    <t>Pumpkin Duke</t>
  </si>
  <si>
    <t>Revenant</t>
  </si>
  <si>
    <t>Santa Boom</t>
  </si>
  <si>
    <t>Serpent Queen</t>
  </si>
  <si>
    <t>Shaman</t>
  </si>
  <si>
    <t>Siren</t>
  </si>
  <si>
    <t>Skull Knight</t>
  </si>
  <si>
    <t>Snowzilla</t>
  </si>
  <si>
    <t>Spirit Mage</t>
  </si>
  <si>
    <t>Succubus</t>
  </si>
  <si>
    <t>Thunder God</t>
  </si>
  <si>
    <t>Treantaur</t>
  </si>
  <si>
    <t>Triton</t>
  </si>
  <si>
    <t>Trixie Treat</t>
  </si>
  <si>
    <t>Valentina</t>
  </si>
  <si>
    <t>Vlad Dracula</t>
  </si>
  <si>
    <t>Warlock</t>
  </si>
  <si>
    <t>Werewolf</t>
  </si>
  <si>
    <t>Crest</t>
  </si>
  <si>
    <t>1</t>
  </si>
  <si>
    <t>2</t>
  </si>
  <si>
    <t>3</t>
  </si>
  <si>
    <t>4</t>
  </si>
  <si>
    <t>5</t>
  </si>
  <si>
    <t>Level</t>
  </si>
  <si>
    <t>Evo?</t>
  </si>
  <si>
    <t>Skill Level</t>
  </si>
  <si>
    <t>Talent</t>
  </si>
  <si>
    <t>Talent Level</t>
  </si>
  <si>
    <t>Crest Set</t>
  </si>
  <si>
    <t>Crest Level</t>
  </si>
  <si>
    <t>Inscription</t>
  </si>
  <si>
    <t>Helper</t>
  </si>
  <si>
    <t>Crest.Name</t>
  </si>
  <si>
    <t xml:space="preserve"> </t>
  </si>
  <si>
    <t>I</t>
  </si>
  <si>
    <t>II</t>
  </si>
  <si>
    <t>III</t>
  </si>
  <si>
    <t>IV</t>
  </si>
  <si>
    <t>Next tier</t>
  </si>
  <si>
    <t>Total</t>
  </si>
  <si>
    <t>Best</t>
  </si>
  <si>
    <t>Qty</t>
  </si>
  <si>
    <t>%</t>
  </si>
  <si>
    <t>Crest.Tier</t>
  </si>
  <si>
    <t>Crest.Qty</t>
  </si>
  <si>
    <t>Hello!</t>
  </si>
  <si>
    <t>This is a little spreadsheet I made to help me track my hero &amp; crest progress. I hope you find it as useful as I have!</t>
  </si>
  <si>
    <t>Managing Heroes</t>
  </si>
  <si>
    <t>Editable vs Non-Editable Content</t>
  </si>
  <si>
    <t>Can be edited</t>
  </si>
  <si>
    <t>Cannot be edited</t>
  </si>
  <si>
    <t>To help you figure out where you should and shouldn't add your content, I've adjusted the background of cells:</t>
  </si>
  <si>
    <t>Automated</t>
  </si>
  <si>
    <r>
      <rPr>
        <sz val="11"/>
        <rFont val="Whitney"/>
        <family val="3"/>
      </rPr>
      <t>Is the hero evolved?</t>
    </r>
    <r>
      <rPr>
        <sz val="11"/>
        <rFont val="Whitney Light"/>
        <family val="3"/>
      </rPr>
      <t xml:space="preserve">
</t>
    </r>
    <r>
      <rPr>
        <sz val="10"/>
        <rFont val="Whitney Light"/>
        <family val="3"/>
      </rPr>
      <t>[No, Evo, Devo]</t>
    </r>
  </si>
  <si>
    <r>
      <rPr>
        <sz val="11"/>
        <rFont val="Whitney"/>
        <family val="3"/>
      </rPr>
      <t>What is their skill level?</t>
    </r>
    <r>
      <rPr>
        <sz val="11"/>
        <rFont val="Whitney Light"/>
        <family val="3"/>
      </rPr>
      <t xml:space="preserve"> 
</t>
    </r>
    <r>
      <rPr>
        <sz val="10"/>
        <rFont val="Whitney Light"/>
        <family val="3"/>
      </rPr>
      <t>[1-10]</t>
    </r>
  </si>
  <si>
    <r>
      <rPr>
        <sz val="11"/>
        <rFont val="Whitney"/>
        <family val="3"/>
      </rPr>
      <t>What is their talent?</t>
    </r>
    <r>
      <rPr>
        <sz val="11"/>
        <rFont val="Whitney Light"/>
        <family val="3"/>
      </rPr>
      <t xml:space="preserve">
</t>
    </r>
    <r>
      <rPr>
        <sz val="10"/>
        <rFont val="Whitney Light"/>
        <family val="3"/>
      </rPr>
      <t>Validates from the list of talents</t>
    </r>
  </si>
  <si>
    <r>
      <rPr>
        <sz val="11"/>
        <rFont val="Whitney"/>
        <family val="3"/>
      </rPr>
      <t>What is their talent level?</t>
    </r>
    <r>
      <rPr>
        <sz val="11"/>
        <rFont val="Whitney Light"/>
        <family val="3"/>
      </rPr>
      <t xml:space="preserve">
</t>
    </r>
    <r>
      <rPr>
        <sz val="10"/>
        <rFont val="Whitney Light"/>
        <family val="3"/>
      </rPr>
      <t>[1-8]</t>
    </r>
  </si>
  <si>
    <r>
      <rPr>
        <sz val="11"/>
        <rFont val="Whitney"/>
        <family val="3"/>
      </rPr>
      <t>What is their inscription level?</t>
    </r>
    <r>
      <rPr>
        <sz val="11"/>
        <rFont val="Whitney Light"/>
        <family val="3"/>
      </rPr>
      <t xml:space="preserve">
</t>
    </r>
    <r>
      <rPr>
        <sz val="10"/>
        <rFont val="Whitney Light"/>
        <family val="3"/>
      </rPr>
      <t>[0-100]</t>
    </r>
  </si>
  <si>
    <r>
      <rPr>
        <sz val="11"/>
        <rFont val="Whitney"/>
        <family val="3"/>
      </rPr>
      <t>What is their crest set?</t>
    </r>
    <r>
      <rPr>
        <sz val="11"/>
        <rFont val="Whitney Light"/>
        <family val="3"/>
      </rPr>
      <t xml:space="preserve">
</t>
    </r>
    <r>
      <rPr>
        <sz val="10"/>
        <rFont val="Whitney Light"/>
        <family val="3"/>
      </rPr>
      <t xml:space="preserve">Validates from list of crests
</t>
    </r>
    <r>
      <rPr>
        <sz val="10"/>
        <color rgb="FFFF0000"/>
        <rFont val="Whitney"/>
        <family val="3"/>
      </rPr>
      <t>Only put full sets here!</t>
    </r>
  </si>
  <si>
    <r>
      <rPr>
        <sz val="11"/>
        <rFont val="Whitney"/>
        <family val="3"/>
      </rPr>
      <t>Level of your hero?</t>
    </r>
    <r>
      <rPr>
        <sz val="11"/>
        <rFont val="Whitney Light"/>
        <family val="3"/>
      </rPr>
      <t xml:space="preserve">
</t>
    </r>
    <r>
      <rPr>
        <sz val="10"/>
        <rFont val="Whitney Light"/>
        <family val="3"/>
      </rPr>
      <t>[1-200]</t>
    </r>
  </si>
  <si>
    <r>
      <rPr>
        <sz val="11"/>
        <rFont val="Whitney"/>
        <family val="3"/>
      </rPr>
      <t>Name of your hero?</t>
    </r>
    <r>
      <rPr>
        <sz val="11"/>
        <rFont val="Whitney Light"/>
        <family val="3"/>
      </rPr>
      <t xml:space="preserve">
</t>
    </r>
    <r>
      <rPr>
        <sz val="10"/>
        <rFont val="Whitney Light"/>
        <family val="3"/>
      </rPr>
      <t>Validates from list of current 1.3.14 heroes</t>
    </r>
  </si>
  <si>
    <r>
      <rPr>
        <sz val="11"/>
        <rFont val="Whitney"/>
        <family val="3"/>
      </rPr>
      <t>What is the level of the crests?</t>
    </r>
    <r>
      <rPr>
        <sz val="11"/>
        <rFont val="Whitney Light"/>
        <family val="3"/>
      </rPr>
      <t xml:space="preserve">
</t>
    </r>
    <r>
      <rPr>
        <sz val="10"/>
        <rFont val="Whitney Light"/>
        <family val="3"/>
      </rPr>
      <t>[1-5]</t>
    </r>
  </si>
  <si>
    <r>
      <t xml:space="preserve">Open the tab called </t>
    </r>
    <r>
      <rPr>
        <sz val="11"/>
        <color theme="1"/>
        <rFont val="Whitney"/>
        <family val="3"/>
      </rPr>
      <t>[Heroes]</t>
    </r>
    <r>
      <rPr>
        <sz val="11"/>
        <color theme="1"/>
        <rFont val="Whitney Light"/>
        <family val="3"/>
      </rPr>
      <t>. You'll find some sample data already in there. Feel free to delete everything once you understand what everything does. Most fields will either have drop down selectors or validation rules in place:</t>
    </r>
  </si>
  <si>
    <t>Managing Crests</t>
  </si>
  <si>
    <r>
      <t xml:space="preserve">First of all, if you only want to manage your crests, you can hide most of the hero input via this group selector in the </t>
    </r>
    <r>
      <rPr>
        <sz val="11"/>
        <color theme="1"/>
        <rFont val="Whitney"/>
        <family val="3"/>
      </rPr>
      <t>[Heroes]</t>
    </r>
    <r>
      <rPr>
        <sz val="11"/>
        <color theme="1"/>
        <rFont val="Whitney Light"/>
        <family val="3"/>
      </rPr>
      <t xml:space="preserve"> tab:</t>
    </r>
  </si>
  <si>
    <t>You will still need to input the crest sets and levels for your heroes in order to get a proper count!</t>
  </si>
  <si>
    <r>
      <t xml:space="preserve">Once that's done, head on over to the tab called </t>
    </r>
    <r>
      <rPr>
        <sz val="11"/>
        <color theme="1"/>
        <rFont val="Whitney"/>
        <family val="3"/>
      </rPr>
      <t>[Warehouse]</t>
    </r>
    <r>
      <rPr>
        <sz val="11"/>
        <color theme="1"/>
        <rFont val="Whitney Light"/>
        <family val="3"/>
      </rPr>
      <t xml:space="preserve">. This one is fairly simple, just count off all the crests that you have </t>
    </r>
    <r>
      <rPr>
        <i/>
        <sz val="11"/>
        <color theme="1"/>
        <rFont val="Whitney Light"/>
        <family val="3"/>
      </rPr>
      <t>in your warehouse</t>
    </r>
    <r>
      <rPr>
        <sz val="11"/>
        <color theme="1"/>
        <rFont val="Whitney Light"/>
        <family val="3"/>
      </rPr>
      <t>.</t>
    </r>
  </si>
  <si>
    <r>
      <rPr>
        <sz val="11"/>
        <color theme="1"/>
        <rFont val="Whitney"/>
        <family val="3"/>
      </rPr>
      <t>Progress to next level</t>
    </r>
    <r>
      <rPr>
        <sz val="11"/>
        <color theme="1"/>
        <rFont val="Whitney Light"/>
        <family val="3"/>
      </rPr>
      <t xml:space="preserve">
</t>
    </r>
    <r>
      <rPr>
        <sz val="10"/>
        <color theme="1"/>
        <rFont val="Whitney Light"/>
        <family val="3"/>
      </rPr>
      <t>Percentage done</t>
    </r>
  </si>
  <si>
    <r>
      <t xml:space="preserve">Level 1 crest equivalency
</t>
    </r>
    <r>
      <rPr>
        <sz val="10"/>
        <color theme="1"/>
        <rFont val="Whitney Light"/>
        <family val="3"/>
      </rPr>
      <t>Simpler metric</t>
    </r>
  </si>
  <si>
    <r>
      <t xml:space="preserve">Best level possible
</t>
    </r>
    <r>
      <rPr>
        <sz val="10"/>
        <color theme="1"/>
        <rFont val="Whitney Light"/>
        <family val="3"/>
      </rPr>
      <t>Combining all crests</t>
    </r>
  </si>
  <si>
    <r>
      <rPr>
        <sz val="11"/>
        <color theme="1"/>
        <rFont val="Whitney"/>
        <family val="3"/>
      </rPr>
      <t>Total of your crests</t>
    </r>
    <r>
      <rPr>
        <sz val="11"/>
        <color theme="1"/>
        <rFont val="Whitney Light"/>
        <family val="3"/>
      </rPr>
      <t xml:space="preserve">
</t>
    </r>
    <r>
      <rPr>
        <sz val="10"/>
        <color theme="1"/>
        <rFont val="Whitney Light"/>
        <family val="3"/>
      </rPr>
      <t>Warehouse + Heroes</t>
    </r>
  </si>
  <si>
    <r>
      <rPr>
        <sz val="11"/>
        <color theme="1"/>
        <rFont val="Whitney"/>
        <family val="3"/>
      </rPr>
      <t xml:space="preserve">Required  crests for next level
</t>
    </r>
    <r>
      <rPr>
        <sz val="10"/>
        <color theme="1"/>
        <rFont val="Whitney Light"/>
        <family val="3"/>
      </rPr>
      <t>In level 1 crests</t>
    </r>
  </si>
  <si>
    <t>Happy clashing!</t>
  </si>
  <si>
    <t>Fretwo</t>
  </si>
  <si>
    <t>Vanguard666</t>
  </si>
  <si>
    <t>(The non-editable cell background might not show in Excel Online, Excel Mobile or third-party spreadsheet software. If you can't select it, you can't edit it.)</t>
  </si>
  <si>
    <t>In order to use this spreadsheet, you'll have to download it:</t>
  </si>
  <si>
    <t>Before you begin…</t>
  </si>
  <si>
    <r>
      <t xml:space="preserve">Finally, go to the tab called </t>
    </r>
    <r>
      <rPr>
        <sz val="11"/>
        <color theme="1"/>
        <rFont val="Whitney"/>
        <family val="3"/>
      </rPr>
      <t>[Total Crests]</t>
    </r>
    <r>
      <rPr>
        <sz val="11"/>
        <color theme="1"/>
        <rFont val="Whitney Light"/>
        <family val="3"/>
      </rPr>
      <t xml:space="preserve"> to see what your collection looks like!</t>
    </r>
  </si>
  <si>
    <t>CC BY-NC-SA 4.0</t>
  </si>
  <si>
    <t>5/5</t>
  </si>
  <si>
    <t>8/8</t>
  </si>
  <si>
    <t>5/8</t>
  </si>
  <si>
    <t>Skill</t>
  </si>
  <si>
    <t>Natural</t>
  </si>
  <si>
    <t>Stage-1</t>
  </si>
  <si>
    <t>Talent2</t>
  </si>
  <si>
    <t>Stage-2</t>
  </si>
  <si>
    <t>T2L</t>
  </si>
  <si>
    <t>&lt;definedName name="</t>
  </si>
  <si>
    <t>&lt;/definedName&gt;</t>
  </si>
  <si>
    <t>Empty</t>
  </si>
  <si>
    <t>Picture</t>
  </si>
  <si>
    <t>Talent1</t>
  </si>
  <si>
    <t>Stage-0</t>
  </si>
  <si>
    <t>"&gt;'pictures-heroes'!$</t>
  </si>
  <si>
    <t>B</t>
  </si>
  <si>
    <t>C</t>
  </si>
  <si>
    <t>D</t>
  </si>
  <si>
    <t>$</t>
  </si>
  <si>
    <t>"&gt;'pictures-skill'!$B$</t>
  </si>
  <si>
    <t>"&gt;'pictures-talent1'!$B$</t>
  </si>
  <si>
    <t>"&gt;'pictures-talent2'!$B$</t>
  </si>
  <si>
    <t>"&gt;'pictures-crest'!$B$</t>
  </si>
  <si>
    <t>E</t>
  </si>
  <si>
    <t>F</t>
  </si>
  <si>
    <t>"&gt;INDIRECT('pictures'!$</t>
  </si>
  <si>
    <t>)&lt;/definedName&gt;</t>
  </si>
  <si>
    <t>concat.hero.1</t>
  </si>
  <si>
    <t>concat.hero.2</t>
  </si>
  <si>
    <t>concat.hero.3</t>
  </si>
  <si>
    <t>concat.hero.4</t>
  </si>
  <si>
    <t>concat.hero.5</t>
  </si>
  <si>
    <t>N/A</t>
  </si>
  <si>
    <t>SortKey</t>
  </si>
  <si>
    <t>Inscr.</t>
  </si>
  <si>
    <t>Slot</t>
  </si>
  <si>
    <t>Anubis</t>
  </si>
  <si>
    <t>Storage</t>
  </si>
  <si>
    <t>Team-1</t>
  </si>
  <si>
    <t>Team-2</t>
  </si>
  <si>
    <t>Team-3</t>
  </si>
  <si>
    <t>Team-4</t>
  </si>
  <si>
    <t>Team-5</t>
  </si>
  <si>
    <t>Team-6</t>
  </si>
  <si>
    <t>Cost</t>
  </si>
  <si>
    <t>Lock Crest?</t>
  </si>
  <si>
    <t>Include locks?</t>
  </si>
  <si>
    <t>Yes</t>
  </si>
  <si>
    <t>Y</t>
  </si>
  <si>
    <t>Sum</t>
  </si>
  <si>
    <t>Ronin</t>
  </si>
  <si>
    <r>
      <t xml:space="preserve">Legendary Heroes </t>
    </r>
    <r>
      <rPr>
        <i/>
        <sz val="16"/>
        <color rgb="FFFFCCFF"/>
        <rFont val="Whitney"/>
        <family val="3"/>
      </rPr>
      <t>(Shard)</t>
    </r>
  </si>
  <si>
    <r>
      <t xml:space="preserve">Legendary Heroes </t>
    </r>
    <r>
      <rPr>
        <i/>
        <sz val="16"/>
        <color rgb="FFFFCCFF"/>
        <rFont val="Whitney"/>
        <family val="3"/>
      </rPr>
      <t>(Roll)</t>
    </r>
  </si>
  <si>
    <r>
      <t xml:space="preserve">Legendary Heroes </t>
    </r>
    <r>
      <rPr>
        <i/>
        <sz val="16"/>
        <color rgb="FFFFCCFF"/>
        <rFont val="Whitney"/>
        <family val="3"/>
      </rPr>
      <t>(Event)</t>
    </r>
  </si>
  <si>
    <t>R</t>
  </si>
  <si>
    <t>S</t>
  </si>
  <si>
    <r>
      <t xml:space="preserve">Legendary Heroes </t>
    </r>
    <r>
      <rPr>
        <i/>
        <sz val="16"/>
        <color rgb="FFFFCCFF"/>
        <rFont val="Whitney"/>
        <family val="3"/>
      </rPr>
      <t>(All)</t>
    </r>
  </si>
  <si>
    <t>Evo Cost (Fame)</t>
  </si>
  <si>
    <t>Evo Cost (Shard)</t>
  </si>
  <si>
    <t>Tower value</t>
  </si>
  <si>
    <t>Tower level</t>
  </si>
  <si>
    <t>Town Hall</t>
  </si>
  <si>
    <t>Building</t>
  </si>
  <si>
    <t>HP</t>
  </si>
  <si>
    <t>building</t>
  </si>
  <si>
    <t>level</t>
  </si>
  <si>
    <t>cost</t>
  </si>
  <si>
    <t>time</t>
  </si>
  <si>
    <t>might</t>
  </si>
  <si>
    <t>Army Camp</t>
  </si>
  <si>
    <t>Hero Base</t>
  </si>
  <si>
    <t>hp</t>
  </si>
  <si>
    <t>Heroes Altar</t>
  </si>
  <si>
    <t>Guild Hall</t>
  </si>
  <si>
    <t>Relic Hall</t>
  </si>
  <si>
    <t>Watchtower</t>
  </si>
  <si>
    <t>Arrow Tower</t>
  </si>
  <si>
    <t>Magic Tower</t>
  </si>
  <si>
    <t>Cannon Tower</t>
  </si>
  <si>
    <t>Mana Mill</t>
  </si>
  <si>
    <t>Gold Mine</t>
  </si>
  <si>
    <t>Gold Vault</t>
  </si>
  <si>
    <t>Mana Vault</t>
  </si>
  <si>
    <t>Warehouse</t>
  </si>
  <si>
    <t>Training Center</t>
  </si>
  <si>
    <t>Pet Plaza</t>
  </si>
  <si>
    <t>Arena</t>
  </si>
  <si>
    <t>Cost Left</t>
  </si>
  <si>
    <t>currency</t>
  </si>
  <si>
    <t>kG</t>
  </si>
  <si>
    <t>kM</t>
  </si>
  <si>
    <t>Time Left</t>
  </si>
  <si>
    <t>Might</t>
  </si>
  <si>
    <t>Towers:</t>
  </si>
  <si>
    <t>Cost Left, net:</t>
  </si>
  <si>
    <t>Gold</t>
  </si>
  <si>
    <t>Mana</t>
  </si>
  <si>
    <t>Might, net:</t>
  </si>
  <si>
    <t>HP, net:</t>
  </si>
  <si>
    <t>Time left</t>
  </si>
  <si>
    <t>Net:</t>
  </si>
  <si>
    <t>Projected:</t>
  </si>
  <si>
    <t>Tier</t>
  </si>
  <si>
    <t>Ordinary</t>
  </si>
  <si>
    <t>Elite</t>
  </si>
  <si>
    <t>Legendary</t>
  </si>
  <si>
    <t>Class</t>
  </si>
  <si>
    <t>Type2</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</si>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</sst>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quot;/10&quot;"/>
    <numFmt numFmtId="165" formatCode="#,##0;[Red]#,##0"/>
    <numFmt numFmtId="166" formatCode="[Color10]\(\ \+0\ \)\ ;[Red]\(\ \-0\ \);\(\ 0\ \)"/>
    <numFmt numFmtId="167" formatCode="0.0"/>
    <numFmt numFmtId="168" formatCode="#,###,###"/>
    <numFmt numFmtId="169" formatCode="#.0&quot;/10&quot;"/>
    <numFmt numFmtId="170" formatCode="#,###,##0"/>
    <numFmt numFmtId="171" formatCode="0\ &quot;d&quot;"/>
    <numFmt numFmtId="172" formatCode="#,##0\ &quot;d&quot;"/>
  </numFmts>
  <fonts count="30" x14ac:knownFonts="1">
    <font>
      <sz val="11"/>
      <color theme="1"/>
      <name val="Calibri"/>
      <family val="2"/>
      <scheme val="minor"/>
    </font>
    <font>
      <sz val="11"/>
      <color theme="1"/>
      <name val="Whitney Light"/>
      <family val="3"/>
    </font>
    <font>
      <sz val="11"/>
      <color theme="1"/>
      <name val="Whitney"/>
      <family val="3"/>
    </font>
    <font>
      <sz val="11"/>
      <color theme="1"/>
      <name val="Calibri"/>
      <family val="2"/>
      <scheme val="minor"/>
    </font>
    <font>
      <sz val="11"/>
      <name val="Whitney"/>
      <family val="3"/>
    </font>
    <font>
      <sz val="11"/>
      <name val="Whitney Light"/>
      <family val="3"/>
    </font>
    <font>
      <sz val="11"/>
      <name val="Calibri"/>
      <family val="2"/>
      <scheme val="minor"/>
    </font>
    <font>
      <sz val="11"/>
      <color theme="1"/>
      <name val="Whitney Semibold"/>
      <family val="3"/>
    </font>
    <font>
      <b/>
      <sz val="11"/>
      <color theme="0"/>
      <name val="Whitney Semibold"/>
      <family val="3"/>
    </font>
    <font>
      <sz val="11"/>
      <color theme="0"/>
      <name val="Whitney Light"/>
      <family val="3"/>
    </font>
    <font>
      <b/>
      <sz val="11"/>
      <color theme="1"/>
      <name val="Whitney Semibold"/>
      <family val="3"/>
    </font>
    <font>
      <sz val="11"/>
      <color theme="0"/>
      <name val="Whitney Semibold"/>
      <family val="3"/>
    </font>
    <font>
      <sz val="20"/>
      <color theme="1"/>
      <name val="Whitney Semibold"/>
      <family val="3"/>
    </font>
    <font>
      <sz val="12"/>
      <color theme="1"/>
      <name val="Whitney"/>
      <family val="3"/>
    </font>
    <font>
      <sz val="14"/>
      <color theme="1"/>
      <name val="Whitney"/>
      <family val="3"/>
    </font>
    <font>
      <sz val="10"/>
      <name val="Whitney Light"/>
      <family val="3"/>
    </font>
    <font>
      <sz val="10"/>
      <color rgb="FFFF0000"/>
      <name val="Whitney"/>
      <family val="3"/>
    </font>
    <font>
      <i/>
      <sz val="11"/>
      <color theme="1"/>
      <name val="Whitney Light"/>
      <family val="3"/>
    </font>
    <font>
      <sz val="10"/>
      <color theme="1"/>
      <name val="Whitney Light"/>
      <family val="3"/>
    </font>
    <font>
      <u/>
      <sz val="11"/>
      <color theme="10"/>
      <name val="Calibri"/>
      <family val="2"/>
      <scheme val="minor"/>
    </font>
    <font>
      <sz val="12"/>
      <color rgb="FF00B0F0"/>
      <name val="Whitney"/>
      <family val="3"/>
    </font>
    <font>
      <sz val="10"/>
      <color rgb="FF00B0F0"/>
      <name val="Whitney Light"/>
      <family val="3"/>
    </font>
    <font>
      <sz val="10"/>
      <color theme="0" tint="-0.499984740745262"/>
      <name val="Whitney Light"/>
      <family val="3"/>
    </font>
    <font>
      <sz val="11"/>
      <color theme="0"/>
      <name val="Calibri"/>
      <family val="2"/>
      <scheme val="minor"/>
    </font>
    <font>
      <sz val="11"/>
      <color theme="0" tint="-4.9989318521683403E-2"/>
      <name val="Whitney Light"/>
      <family val="3"/>
    </font>
    <font>
      <sz val="16"/>
      <color theme="1"/>
      <name val="Whitney"/>
      <family val="3"/>
    </font>
    <font>
      <sz val="16"/>
      <color rgb="FF7030A0"/>
      <name val="Whitney"/>
      <family val="3"/>
    </font>
    <font>
      <i/>
      <sz val="16"/>
      <color rgb="FFFFCCFF"/>
      <name val="Whitney"/>
      <family val="3"/>
    </font>
    <font>
      <sz val="16"/>
      <color theme="0" tint="-0.499984740745262"/>
      <name val="Whitney"/>
      <family val="3"/>
    </font>
    <font>
      <sz val="11"/>
      <color theme="0"/>
      <name val="Whitney"/>
      <family val="3"/>
    </font>
  </fonts>
  <fills count="16">
    <fill>
      <patternFill patternType="none"/>
    </fill>
    <fill>
      <patternFill patternType="gray125"/>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0" tint="-4.9989318521683403E-2"/>
        <bgColor indexed="64"/>
      </patternFill>
    </fill>
    <fill>
      <patternFill patternType="solid">
        <fgColor theme="4"/>
        <bgColor indexed="64"/>
      </patternFill>
    </fill>
    <fill>
      <patternFill patternType="solid">
        <fgColor theme="0"/>
        <bgColor indexed="64"/>
      </patternFill>
    </fill>
    <fill>
      <patternFill patternType="solid">
        <fgColor theme="9"/>
        <bgColor indexed="64"/>
      </patternFill>
    </fill>
    <fill>
      <patternFill patternType="solid">
        <fgColor theme="7"/>
        <bgColor indexed="64"/>
      </patternFill>
    </fill>
    <fill>
      <patternFill patternType="lightUp">
        <fgColor rgb="FFDBDBDB"/>
        <bgColor rgb="FFEDEDED"/>
      </patternFill>
    </fill>
    <fill>
      <patternFill patternType="lightUp">
        <fgColor rgb="FFEDEDED"/>
        <bgColor rgb="FFDBDBDB"/>
      </patternFill>
    </fill>
    <fill>
      <patternFill patternType="solid">
        <fgColor rgb="FFEDEDED"/>
        <bgColor theme="6" tint="0.59999389629810485"/>
      </patternFill>
    </fill>
    <fill>
      <patternFill patternType="solid">
        <fgColor rgb="FFEDEDED"/>
        <bgColor indexed="64"/>
      </patternFill>
    </fill>
    <fill>
      <patternFill patternType="solid">
        <fgColor theme="0" tint="-0.499984740745262"/>
        <bgColor indexed="64"/>
      </patternFill>
    </fill>
    <fill>
      <patternFill patternType="lightUp">
        <fgColor theme="0" tint="-4.9989318521683403E-2"/>
        <bgColor indexed="65"/>
      </patternFill>
    </fill>
  </fills>
  <borders count="100">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top style="medium">
        <color auto="1"/>
      </top>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top style="medium">
        <color auto="1"/>
      </top>
      <bottom style="thin">
        <color theme="0"/>
      </bottom>
      <diagonal/>
    </border>
    <border>
      <left/>
      <right/>
      <top/>
      <bottom style="thick">
        <color theme="0"/>
      </bottom>
      <diagonal/>
    </border>
    <border>
      <left/>
      <right/>
      <top style="thick">
        <color theme="0"/>
      </top>
      <bottom style="medium">
        <color auto="1"/>
      </bottom>
      <diagonal/>
    </border>
    <border>
      <left/>
      <right/>
      <top style="medium">
        <color auto="1"/>
      </top>
      <bottom style="medium">
        <color auto="1"/>
      </bottom>
      <diagonal/>
    </border>
    <border>
      <left style="dashed">
        <color auto="1"/>
      </left>
      <right/>
      <top/>
      <bottom/>
      <diagonal/>
    </border>
    <border>
      <left/>
      <right style="dashed">
        <color auto="1"/>
      </right>
      <top/>
      <bottom/>
      <diagonal/>
    </border>
    <border>
      <left style="dashed">
        <color auto="1"/>
      </left>
      <right/>
      <top style="medium">
        <color auto="1"/>
      </top>
      <bottom/>
      <diagonal/>
    </border>
    <border>
      <left/>
      <right style="dashed">
        <color auto="1"/>
      </right>
      <top style="medium">
        <color auto="1"/>
      </top>
      <bottom/>
      <diagonal/>
    </border>
    <border>
      <left style="thin">
        <color theme="0"/>
      </left>
      <right style="dashed">
        <color auto="1"/>
      </right>
      <top style="thin">
        <color theme="0"/>
      </top>
      <bottom style="thin">
        <color theme="0"/>
      </bottom>
      <diagonal/>
    </border>
    <border>
      <left style="thin">
        <color theme="0"/>
      </left>
      <right style="dashed">
        <color auto="1"/>
      </right>
      <top style="medium">
        <color auto="1"/>
      </top>
      <bottom style="thin">
        <color theme="0"/>
      </bottom>
      <diagonal/>
    </border>
    <border>
      <left style="thin">
        <color theme="0"/>
      </left>
      <right style="dashed">
        <color auto="1"/>
      </right>
      <top style="thin">
        <color theme="0"/>
      </top>
      <bottom/>
      <diagonal/>
    </border>
    <border>
      <left/>
      <right style="thin">
        <color theme="0"/>
      </right>
      <top/>
      <bottom style="thin">
        <color theme="0"/>
      </bottom>
      <diagonal/>
    </border>
    <border>
      <left/>
      <right/>
      <top/>
      <bottom style="thin">
        <color theme="0"/>
      </bottom>
      <diagonal/>
    </border>
    <border>
      <left style="thin">
        <color theme="0"/>
      </left>
      <right style="dashed">
        <color auto="1"/>
      </right>
      <top/>
      <bottom/>
      <diagonal/>
    </border>
    <border>
      <left style="thin">
        <color theme="0"/>
      </left>
      <right/>
      <top/>
      <bottom/>
      <diagonal/>
    </border>
    <border>
      <left style="thin">
        <color theme="0"/>
      </left>
      <right/>
      <top/>
      <bottom style="thin">
        <color theme="0"/>
      </bottom>
      <diagonal/>
    </border>
    <border>
      <left/>
      <right style="thin">
        <color theme="0"/>
      </right>
      <top/>
      <bottom/>
      <diagonal/>
    </border>
    <border>
      <left style="thin">
        <color theme="0"/>
      </left>
      <right style="thin">
        <color theme="0"/>
      </right>
      <top/>
      <bottom/>
      <diagonal/>
    </border>
    <border>
      <left style="dotted">
        <color auto="1"/>
      </left>
      <right/>
      <top/>
      <bottom/>
      <diagonal/>
    </border>
    <border>
      <left style="dotted">
        <color auto="1"/>
      </left>
      <right style="dotted">
        <color auto="1"/>
      </right>
      <top/>
      <bottom/>
      <diagonal/>
    </border>
    <border>
      <left/>
      <right style="dotted">
        <color auto="1"/>
      </right>
      <top/>
      <bottom/>
      <diagonal/>
    </border>
    <border>
      <left/>
      <right/>
      <top style="medium">
        <color auto="1"/>
      </top>
      <bottom style="thin">
        <color theme="0"/>
      </bottom>
      <diagonal/>
    </border>
    <border>
      <left/>
      <right/>
      <top style="thin">
        <color theme="0"/>
      </top>
      <bottom/>
      <diagonal/>
    </border>
    <border>
      <left style="dashed">
        <color theme="0"/>
      </left>
      <right style="dashed">
        <color auto="1"/>
      </right>
      <top/>
      <bottom/>
      <diagonal/>
    </border>
    <border>
      <left/>
      <right/>
      <top style="thin">
        <color theme="0"/>
      </top>
      <bottom style="thin">
        <color theme="0"/>
      </bottom>
      <diagonal/>
    </border>
    <border>
      <left style="dashed">
        <color theme="0"/>
      </left>
      <right style="dashed">
        <color auto="1"/>
      </right>
      <top style="medium">
        <color auto="1"/>
      </top>
      <bottom/>
      <diagonal/>
    </border>
    <border>
      <left style="thin">
        <color theme="0"/>
      </left>
      <right style="dashed">
        <color auto="1"/>
      </right>
      <top/>
      <bottom style="thin">
        <color theme="0"/>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hair">
        <color rgb="FFEDEDED"/>
      </left>
      <right style="hair">
        <color rgb="FFEDEDED"/>
      </right>
      <top style="hair">
        <color rgb="FFEDEDED"/>
      </top>
      <bottom style="hair">
        <color rgb="FFEDEDED"/>
      </bottom>
      <diagonal/>
    </border>
    <border>
      <left/>
      <right style="hair">
        <color rgb="FFEDEDED"/>
      </right>
      <top style="hair">
        <color rgb="FFEDEDED"/>
      </top>
      <bottom/>
      <diagonal/>
    </border>
    <border>
      <left style="hair">
        <color rgb="FFEDEDED"/>
      </left>
      <right/>
      <top style="hair">
        <color rgb="FFEDEDED"/>
      </top>
      <bottom/>
      <diagonal/>
    </border>
    <border>
      <left style="hair">
        <color rgb="FFEDEDED"/>
      </left>
      <right style="hair">
        <color rgb="FFEDEDED"/>
      </right>
      <top style="hair">
        <color rgb="FFEDEDED"/>
      </top>
      <bottom/>
      <diagonal/>
    </border>
    <border>
      <left/>
      <right style="hair">
        <color rgb="FFEDEDED"/>
      </right>
      <top style="hair">
        <color rgb="FFEDEDED"/>
      </top>
      <bottom style="hair">
        <color rgb="FFEDEDED"/>
      </bottom>
      <diagonal/>
    </border>
    <border>
      <left style="hair">
        <color rgb="FFEDEDED"/>
      </left>
      <right/>
      <top style="hair">
        <color rgb="FFEDEDED"/>
      </top>
      <bottom style="hair">
        <color rgb="FFEDEDED"/>
      </bottom>
      <diagonal/>
    </border>
    <border>
      <left style="thin">
        <color theme="0"/>
      </left>
      <right style="thin">
        <color theme="0"/>
      </right>
      <top style="thick">
        <color theme="0"/>
      </top>
      <bottom style="thin">
        <color theme="0"/>
      </bottom>
      <diagonal/>
    </border>
    <border>
      <left/>
      <right/>
      <top style="thick">
        <color theme="0"/>
      </top>
      <bottom/>
      <diagonal/>
    </border>
    <border>
      <left style="dashed">
        <color theme="0"/>
      </left>
      <right style="dashed">
        <color auto="1"/>
      </right>
      <top style="thick">
        <color theme="0"/>
      </top>
      <bottom/>
      <diagonal/>
    </border>
    <border>
      <left style="dashed">
        <color auto="1"/>
      </left>
      <right/>
      <top style="thick">
        <color theme="0"/>
      </top>
      <bottom/>
      <diagonal/>
    </border>
    <border>
      <left/>
      <right style="dashed">
        <color auto="1"/>
      </right>
      <top style="thick">
        <color theme="0"/>
      </top>
      <bottom/>
      <diagonal/>
    </border>
    <border>
      <left style="thin">
        <color theme="0"/>
      </left>
      <right/>
      <top style="thick">
        <color theme="0"/>
      </top>
      <bottom/>
      <diagonal/>
    </border>
    <border>
      <left/>
      <right/>
      <top style="thick">
        <color theme="0"/>
      </top>
      <bottom style="thin">
        <color theme="0"/>
      </bottom>
      <diagonal/>
    </border>
    <border>
      <left/>
      <right style="thin">
        <color theme="0"/>
      </right>
      <top style="thick">
        <color theme="0"/>
      </top>
      <bottom style="thin">
        <color theme="0"/>
      </bottom>
      <diagonal/>
    </border>
    <border>
      <left style="thin">
        <color theme="0"/>
      </left>
      <right style="dashed">
        <color auto="1"/>
      </right>
      <top style="thick">
        <color theme="0"/>
      </top>
      <bottom style="thin">
        <color theme="0"/>
      </bottom>
      <diagonal/>
    </border>
    <border>
      <left style="thin">
        <color theme="0"/>
      </left>
      <right/>
      <top style="thick">
        <color theme="0"/>
      </top>
      <bottom style="thin">
        <color theme="0"/>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top style="thin">
        <color theme="0"/>
      </top>
      <bottom/>
      <diagonal/>
    </border>
    <border>
      <left style="dotted">
        <color auto="1"/>
      </left>
      <right style="thin">
        <color theme="0"/>
      </right>
      <top style="thin">
        <color theme="0"/>
      </top>
      <bottom/>
      <diagonal/>
    </border>
    <border>
      <left style="dotted">
        <color auto="1"/>
      </left>
      <right style="dotted">
        <color auto="1"/>
      </right>
      <top style="thin">
        <color theme="0"/>
      </top>
      <bottom style="thin">
        <color theme="0"/>
      </bottom>
      <diagonal/>
    </border>
    <border>
      <left style="dotted">
        <color auto="1"/>
      </left>
      <right/>
      <top style="thin">
        <color theme="0"/>
      </top>
      <bottom style="thin">
        <color theme="0"/>
      </bottom>
      <diagonal/>
    </border>
    <border>
      <left style="dotted">
        <color auto="1"/>
      </left>
      <right style="thin">
        <color theme="0"/>
      </right>
      <top style="thin">
        <color theme="0"/>
      </top>
      <bottom style="thin">
        <color theme="0"/>
      </bottom>
      <diagonal/>
    </border>
    <border>
      <left style="dotted">
        <color auto="1"/>
      </left>
      <right style="thin">
        <color theme="0"/>
      </right>
      <top style="medium">
        <color auto="1"/>
      </top>
      <bottom style="thin">
        <color theme="0"/>
      </bottom>
      <diagonal/>
    </border>
    <border>
      <left style="dotted">
        <color auto="1"/>
      </left>
      <right style="dotted">
        <color auto="1"/>
      </right>
      <top/>
      <bottom style="thin">
        <color theme="0"/>
      </bottom>
      <diagonal/>
    </border>
    <border>
      <left style="dotted">
        <color auto="1"/>
      </left>
      <right/>
      <top/>
      <bottom style="thin">
        <color theme="0"/>
      </bottom>
      <diagonal/>
    </border>
    <border>
      <left style="dotted">
        <color auto="1"/>
      </left>
      <right/>
      <top style="medium">
        <color auto="1"/>
      </top>
      <bottom/>
      <diagonal/>
    </border>
    <border>
      <left style="dotted">
        <color auto="1"/>
      </left>
      <right style="dotted">
        <color auto="1"/>
      </right>
      <top style="thin">
        <color theme="0"/>
      </top>
      <bottom style="medium">
        <color auto="1"/>
      </bottom>
      <diagonal/>
    </border>
    <border>
      <left style="dotted">
        <color auto="1"/>
      </left>
      <right/>
      <top style="thin">
        <color theme="0"/>
      </top>
      <bottom style="medium">
        <color auto="1"/>
      </bottom>
      <diagonal/>
    </border>
    <border>
      <left/>
      <right/>
      <top/>
      <bottom style="medium">
        <color auto="1"/>
      </bottom>
      <diagonal/>
    </border>
    <border>
      <left style="dotted">
        <color auto="1"/>
      </left>
      <right style="thin">
        <color theme="0"/>
      </right>
      <top/>
      <bottom style="thin">
        <color theme="0"/>
      </bottom>
      <diagonal/>
    </border>
    <border>
      <left style="dotted">
        <color auto="1"/>
      </left>
      <right style="thin">
        <color theme="0"/>
      </right>
      <top style="thin">
        <color theme="0"/>
      </top>
      <bottom style="medium">
        <color auto="1"/>
      </bottom>
      <diagonal/>
    </border>
    <border>
      <left style="dotted">
        <color auto="1"/>
      </left>
      <right style="dotted">
        <color auto="1"/>
      </right>
      <top style="thick">
        <color theme="0"/>
      </top>
      <bottom style="thin">
        <color theme="0"/>
      </bottom>
      <diagonal/>
    </border>
    <border>
      <left style="dotted">
        <color auto="1"/>
      </left>
      <right/>
      <top style="thick">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medium">
        <color theme="0"/>
      </bottom>
      <diagonal/>
    </border>
    <border>
      <left style="thin">
        <color theme="0"/>
      </left>
      <right style="thin">
        <color theme="0"/>
      </right>
      <top style="medium">
        <color theme="0"/>
      </top>
      <bottom style="medium">
        <color auto="1"/>
      </bottom>
      <diagonal/>
    </border>
    <border>
      <left style="thin">
        <color theme="0"/>
      </left>
      <right style="thin">
        <color theme="0"/>
      </right>
      <top style="medium">
        <color auto="1"/>
      </top>
      <bottom style="medium">
        <color auto="1"/>
      </bottom>
      <diagonal/>
    </border>
    <border>
      <left style="thin">
        <color theme="0"/>
      </left>
      <right/>
      <top style="medium">
        <color theme="0"/>
      </top>
      <bottom style="medium">
        <color auto="1"/>
      </bottom>
      <diagonal/>
    </border>
    <border>
      <left style="thin">
        <color theme="0"/>
      </left>
      <right/>
      <top style="medium">
        <color auto="1"/>
      </top>
      <bottom style="medium">
        <color auto="1"/>
      </bottom>
      <diagonal/>
    </border>
    <border>
      <left style="dotted">
        <color auto="1"/>
      </left>
      <right style="thin">
        <color theme="0"/>
      </right>
      <top/>
      <bottom style="medium">
        <color auto="1"/>
      </bottom>
      <diagonal/>
    </border>
    <border>
      <left style="thin">
        <color theme="0"/>
      </left>
      <right style="thin">
        <color theme="0"/>
      </right>
      <top style="medium">
        <color auto="1"/>
      </top>
      <bottom/>
      <diagonal/>
    </border>
    <border>
      <left style="thin">
        <color theme="0"/>
      </left>
      <right style="thin">
        <color theme="0"/>
      </right>
      <top/>
      <bottom style="medium">
        <color auto="1"/>
      </bottom>
      <diagonal/>
    </border>
    <border>
      <left style="dotted">
        <color auto="1"/>
      </left>
      <right style="thin">
        <color theme="0"/>
      </right>
      <top style="medium">
        <color auto="1"/>
      </top>
      <bottom/>
      <diagonal/>
    </border>
    <border>
      <left style="thin">
        <color theme="0"/>
      </left>
      <right style="thin">
        <color theme="0"/>
      </right>
      <top style="medium">
        <color theme="0"/>
      </top>
      <bottom/>
      <diagonal/>
    </border>
    <border>
      <left style="dotted">
        <color auto="1"/>
      </left>
      <right style="thin">
        <color theme="0"/>
      </right>
      <top style="medium">
        <color theme="0"/>
      </top>
      <bottom/>
      <diagonal/>
    </border>
    <border>
      <left style="dashed">
        <color theme="0" tint="-0.24994659260841701"/>
      </left>
      <right style="thin">
        <color theme="0"/>
      </right>
      <top style="dashed">
        <color theme="0" tint="-0.24994659260841701"/>
      </top>
      <bottom style="thin">
        <color theme="0"/>
      </bottom>
      <diagonal/>
    </border>
    <border>
      <left style="dashed">
        <color theme="0" tint="-0.24994659260841701"/>
      </left>
      <right style="thin">
        <color theme="0"/>
      </right>
      <top style="thin">
        <color theme="0"/>
      </top>
      <bottom style="thin">
        <color theme="0"/>
      </bottom>
      <diagonal/>
    </border>
    <border>
      <left style="dashed">
        <color theme="0" tint="-0.24994659260841701"/>
      </left>
      <right style="thin">
        <color theme="0"/>
      </right>
      <top style="thin">
        <color theme="0"/>
      </top>
      <bottom style="dashed">
        <color theme="0" tint="-0.24994659260841701"/>
      </bottom>
      <diagonal/>
    </border>
    <border>
      <left style="thin">
        <color theme="0"/>
      </left>
      <right style="dashed">
        <color theme="0" tint="-0.24994659260841701"/>
      </right>
      <top style="dashed">
        <color theme="0" tint="-0.24994659260841701"/>
      </top>
      <bottom style="thin">
        <color theme="0"/>
      </bottom>
      <diagonal/>
    </border>
    <border>
      <left style="thin">
        <color theme="0"/>
      </left>
      <right style="dashed">
        <color theme="0" tint="-0.24994659260841701"/>
      </right>
      <top style="thin">
        <color theme="0"/>
      </top>
      <bottom style="thin">
        <color theme="0"/>
      </bottom>
      <diagonal/>
    </border>
    <border>
      <left style="thin">
        <color theme="0"/>
      </left>
      <right style="dashed">
        <color theme="0" tint="-0.24994659260841701"/>
      </right>
      <top style="thin">
        <color theme="0"/>
      </top>
      <bottom style="dashed">
        <color theme="0" tint="-0.24994659260841701"/>
      </bottom>
      <diagonal/>
    </border>
    <border>
      <left style="thin">
        <color theme="0"/>
      </left>
      <right style="thin">
        <color theme="0"/>
      </right>
      <top style="thin">
        <color theme="0"/>
      </top>
      <bottom style="dashed">
        <color theme="0" tint="-0.34998626667073579"/>
      </bottom>
      <diagonal/>
    </border>
    <border>
      <left style="thin">
        <color theme="0"/>
      </left>
      <right/>
      <top style="thin">
        <color theme="0"/>
      </top>
      <bottom style="dashed">
        <color theme="0" tint="-0.34998626667073579"/>
      </bottom>
      <diagonal/>
    </border>
    <border>
      <left/>
      <right/>
      <top style="thin">
        <color theme="0"/>
      </top>
      <bottom style="dashed">
        <color theme="0" tint="-0.34998626667073579"/>
      </bottom>
      <diagonal/>
    </border>
    <border>
      <left style="thin">
        <color theme="0" tint="-4.9989318521683403E-2"/>
      </left>
      <right/>
      <top style="thin">
        <color theme="0" tint="-4.9989318521683403E-2"/>
      </top>
      <bottom style="dashed">
        <color theme="0" tint="-0.34998626667073579"/>
      </bottom>
      <diagonal/>
    </border>
    <border>
      <left/>
      <right style="thin">
        <color theme="0" tint="-4.9989318521683403E-2"/>
      </right>
      <top style="thin">
        <color theme="0" tint="-4.9989318521683403E-2"/>
      </top>
      <bottom style="dashed">
        <color theme="0" tint="-0.34998626667073579"/>
      </bottom>
      <diagonal/>
    </border>
  </borders>
  <cellStyleXfs count="3">
    <xf numFmtId="0" fontId="0" fillId="0" borderId="0"/>
    <xf numFmtId="9" fontId="3" fillId="0" borderId="0" applyFont="0" applyFill="0" applyBorder="0" applyAlignment="0" applyProtection="0"/>
    <xf numFmtId="0" fontId="19" fillId="0" borderId="0" applyNumberFormat="0" applyFill="0" applyBorder="0" applyAlignment="0" applyProtection="0"/>
  </cellStyleXfs>
  <cellXfs count="306">
    <xf numFmtId="0" fontId="0" fillId="0" borderId="0" xfId="0"/>
    <xf numFmtId="0" fontId="1" fillId="0" borderId="0" xfId="0" applyFont="1" applyProtection="1">
      <protection locked="0"/>
    </xf>
    <xf numFmtId="164" fontId="1" fillId="0" borderId="0" xfId="0" applyNumberFormat="1" applyFont="1" applyProtection="1">
      <protection locked="0"/>
    </xf>
    <xf numFmtId="0" fontId="4" fillId="0" borderId="14" xfId="0" applyNumberFormat="1" applyFont="1" applyFill="1" applyBorder="1"/>
    <xf numFmtId="0" fontId="4" fillId="0" borderId="16" xfId="0" applyNumberFormat="1" applyFont="1" applyFill="1" applyBorder="1"/>
    <xf numFmtId="0" fontId="4" fillId="0" borderId="17" xfId="0" applyNumberFormat="1" applyFont="1" applyFill="1" applyBorder="1"/>
    <xf numFmtId="0" fontId="4" fillId="0" borderId="18" xfId="0" applyNumberFormat="1" applyFont="1" applyFill="1" applyBorder="1"/>
    <xf numFmtId="0" fontId="4" fillId="0" borderId="19" xfId="0" applyNumberFormat="1" applyFont="1" applyFill="1" applyBorder="1"/>
    <xf numFmtId="164" fontId="1" fillId="0" borderId="0" xfId="0" applyNumberFormat="1" applyFont="1" applyAlignment="1" applyProtection="1">
      <alignment horizontal="left"/>
      <protection locked="0"/>
    </xf>
    <xf numFmtId="0" fontId="1" fillId="0" borderId="0" xfId="0" applyFont="1" applyAlignment="1" applyProtection="1">
      <alignment horizontal="center"/>
      <protection locked="0"/>
    </xf>
    <xf numFmtId="0" fontId="1" fillId="0" borderId="0" xfId="0" applyFont="1" applyProtection="1"/>
    <xf numFmtId="0" fontId="0" fillId="0" borderId="25" xfId="0" applyBorder="1"/>
    <xf numFmtId="0" fontId="0" fillId="0" borderId="26" xfId="0" applyBorder="1"/>
    <xf numFmtId="0" fontId="0" fillId="0" borderId="23" xfId="0" applyBorder="1"/>
    <xf numFmtId="0" fontId="6" fillId="0" borderId="0" xfId="0" applyFont="1"/>
    <xf numFmtId="0" fontId="0" fillId="0" borderId="25" xfId="0" applyBorder="1" applyAlignment="1">
      <alignment horizontal="center"/>
    </xf>
    <xf numFmtId="0" fontId="1" fillId="0" borderId="0" xfId="0" applyFont="1" applyAlignment="1" applyProtection="1">
      <alignment wrapText="1"/>
    </xf>
    <xf numFmtId="0" fontId="1" fillId="3" borderId="2" xfId="0" applyFont="1" applyFill="1" applyBorder="1" applyAlignment="1" applyProtection="1">
      <alignment horizontal="center"/>
      <protection locked="0"/>
    </xf>
    <xf numFmtId="0" fontId="1" fillId="0" borderId="0" xfId="0" applyFont="1" applyAlignment="1" applyProtection="1">
      <alignment vertical="top" wrapText="1"/>
    </xf>
    <xf numFmtId="0" fontId="1" fillId="0" borderId="23" xfId="0" applyFont="1" applyBorder="1" applyAlignment="1" applyProtection="1">
      <alignment wrapText="1"/>
    </xf>
    <xf numFmtId="0" fontId="1" fillId="0" borderId="23" xfId="0" applyFont="1" applyBorder="1" applyProtection="1"/>
    <xf numFmtId="0" fontId="5" fillId="11" borderId="28" xfId="0" applyFont="1" applyFill="1" applyBorder="1" applyProtection="1"/>
    <xf numFmtId="0" fontId="5" fillId="10" borderId="28" xfId="0" applyFont="1" applyFill="1" applyBorder="1" applyProtection="1"/>
    <xf numFmtId="0" fontId="1" fillId="0" borderId="29" xfId="0" applyFont="1" applyBorder="1" applyAlignment="1" applyProtection="1">
      <alignment horizontal="center"/>
      <protection locked="0"/>
    </xf>
    <xf numFmtId="0" fontId="7" fillId="0" borderId="0" xfId="0" applyFont="1" applyAlignment="1" applyProtection="1">
      <alignment vertical="top" wrapText="1"/>
      <protection locked="0"/>
    </xf>
    <xf numFmtId="0" fontId="4" fillId="0" borderId="0" xfId="0" applyFont="1" applyProtection="1">
      <protection locked="0"/>
    </xf>
    <xf numFmtId="0" fontId="1" fillId="0" borderId="21" xfId="0" applyFont="1" applyBorder="1"/>
    <xf numFmtId="0" fontId="1" fillId="0" borderId="20" xfId="0" applyFont="1" applyBorder="1"/>
    <xf numFmtId="0" fontId="1" fillId="0" borderId="23" xfId="0" applyFont="1" applyBorder="1"/>
    <xf numFmtId="0" fontId="1" fillId="0" borderId="0" xfId="0" applyFont="1"/>
    <xf numFmtId="0" fontId="9" fillId="7" borderId="0" xfId="0" applyFont="1" applyFill="1"/>
    <xf numFmtId="0" fontId="1" fillId="0" borderId="6" xfId="0" applyFont="1" applyBorder="1"/>
    <xf numFmtId="0" fontId="8" fillId="2" borderId="10" xfId="0" applyFont="1" applyFill="1" applyBorder="1"/>
    <xf numFmtId="0" fontId="10" fillId="0" borderId="0" xfId="0" applyFont="1"/>
    <xf numFmtId="0" fontId="10" fillId="0" borderId="0" xfId="0" applyFont="1" applyBorder="1"/>
    <xf numFmtId="2" fontId="10" fillId="0" borderId="0" xfId="0" applyNumberFormat="1" applyFont="1" applyAlignment="1">
      <alignment horizontal="right"/>
    </xf>
    <xf numFmtId="0" fontId="10" fillId="0" borderId="0" xfId="0" applyFont="1" applyAlignment="1">
      <alignment horizontal="right"/>
    </xf>
    <xf numFmtId="0" fontId="10" fillId="0" borderId="0" xfId="0" applyFont="1" applyAlignment="1">
      <alignment horizontal="center"/>
    </xf>
    <xf numFmtId="0" fontId="7" fillId="0" borderId="23" xfId="0" applyFont="1" applyBorder="1"/>
    <xf numFmtId="0" fontId="7" fillId="0" borderId="0" xfId="0" applyFont="1" applyBorder="1"/>
    <xf numFmtId="0" fontId="7" fillId="0" borderId="0" xfId="0" applyFont="1"/>
    <xf numFmtId="0" fontId="7" fillId="0" borderId="0" xfId="0" applyFont="1" applyAlignment="1">
      <alignment horizontal="right"/>
    </xf>
    <xf numFmtId="0" fontId="7" fillId="0" borderId="0" xfId="0" applyFont="1" applyAlignment="1">
      <alignment horizontal="center"/>
    </xf>
    <xf numFmtId="0" fontId="1" fillId="11" borderId="13" xfId="0" applyFont="1" applyFill="1" applyBorder="1"/>
    <xf numFmtId="0" fontId="1" fillId="11" borderId="0" xfId="0" applyFont="1" applyFill="1" applyBorder="1"/>
    <xf numFmtId="0" fontId="1" fillId="11" borderId="14" xfId="0" applyFont="1" applyFill="1" applyBorder="1"/>
    <xf numFmtId="0" fontId="1" fillId="11" borderId="0" xfId="1" applyNumberFormat="1" applyFont="1" applyFill="1"/>
    <xf numFmtId="0" fontId="1" fillId="11" borderId="15" xfId="0" applyFont="1" applyFill="1" applyBorder="1"/>
    <xf numFmtId="0" fontId="1" fillId="11" borderId="6" xfId="0" applyFont="1" applyFill="1" applyBorder="1"/>
    <xf numFmtId="0" fontId="1" fillId="11" borderId="16" xfId="0" applyFont="1" applyFill="1" applyBorder="1"/>
    <xf numFmtId="0" fontId="1" fillId="11" borderId="6" xfId="1" applyNumberFormat="1" applyFont="1" applyFill="1" applyBorder="1"/>
    <xf numFmtId="0" fontId="1" fillId="11" borderId="2" xfId="0" applyFont="1" applyFill="1" applyBorder="1"/>
    <xf numFmtId="0" fontId="1" fillId="11" borderId="17" xfId="0" applyFont="1" applyFill="1" applyBorder="1"/>
    <xf numFmtId="0" fontId="1" fillId="11" borderId="8" xfId="0" applyFont="1" applyFill="1" applyBorder="1"/>
    <xf numFmtId="0" fontId="1" fillId="11" borderId="18" xfId="0" applyFont="1" applyFill="1" applyBorder="1"/>
    <xf numFmtId="0" fontId="2" fillId="11" borderId="22" xfId="0" applyFont="1" applyFill="1" applyBorder="1" applyAlignment="1">
      <alignment horizontal="center"/>
    </xf>
    <xf numFmtId="0" fontId="1" fillId="11" borderId="1" xfId="0" applyFont="1" applyFill="1" applyBorder="1"/>
    <xf numFmtId="0" fontId="1" fillId="11" borderId="1" xfId="0" applyNumberFormat="1" applyFont="1" applyFill="1" applyBorder="1"/>
    <xf numFmtId="0" fontId="1" fillId="11" borderId="7" xfId="0" applyFont="1" applyFill="1" applyBorder="1"/>
    <xf numFmtId="0" fontId="1" fillId="11" borderId="7" xfId="0" applyNumberFormat="1" applyFont="1" applyFill="1" applyBorder="1"/>
    <xf numFmtId="0" fontId="1" fillId="10" borderId="13" xfId="0" applyFont="1" applyFill="1" applyBorder="1"/>
    <xf numFmtId="0" fontId="1" fillId="10" borderId="0" xfId="0" applyFont="1" applyFill="1" applyBorder="1"/>
    <xf numFmtId="0" fontId="1" fillId="10" borderId="14" xfId="0" applyFont="1" applyFill="1" applyBorder="1"/>
    <xf numFmtId="0" fontId="1" fillId="10" borderId="0" xfId="1" applyNumberFormat="1" applyFont="1" applyFill="1"/>
    <xf numFmtId="0" fontId="1" fillId="10" borderId="2" xfId="0" applyFont="1" applyFill="1" applyBorder="1"/>
    <xf numFmtId="0" fontId="1" fillId="10" borderId="17" xfId="0" applyFont="1" applyFill="1" applyBorder="1"/>
    <xf numFmtId="0" fontId="1" fillId="10" borderId="5" xfId="0" applyFont="1" applyFill="1" applyBorder="1"/>
    <xf numFmtId="0" fontId="1" fillId="10" borderId="19" xfId="0" applyFont="1" applyFill="1" applyBorder="1"/>
    <xf numFmtId="0" fontId="2" fillId="10" borderId="22" xfId="0" applyFont="1" applyFill="1" applyBorder="1" applyAlignment="1">
      <alignment horizontal="center"/>
    </xf>
    <xf numFmtId="0" fontId="1" fillId="10" borderId="4" xfId="0" applyFont="1" applyFill="1" applyBorder="1"/>
    <xf numFmtId="0" fontId="1" fillId="10" borderId="4" xfId="0" applyNumberFormat="1" applyFont="1" applyFill="1" applyBorder="1"/>
    <xf numFmtId="0" fontId="1" fillId="10" borderId="1" xfId="0" applyFont="1" applyFill="1" applyBorder="1"/>
    <xf numFmtId="0" fontId="1" fillId="10" borderId="1" xfId="0" applyNumberFormat="1" applyFont="1" applyFill="1" applyBorder="1"/>
    <xf numFmtId="0" fontId="1" fillId="0" borderId="0" xfId="0" applyNumberFormat="1" applyFont="1" applyFill="1"/>
    <xf numFmtId="0" fontId="1" fillId="0" borderId="6" xfId="0" applyNumberFormat="1" applyFont="1" applyFill="1" applyBorder="1"/>
    <xf numFmtId="9" fontId="1" fillId="0" borderId="0" xfId="1" applyFont="1" applyFill="1"/>
    <xf numFmtId="9" fontId="1" fillId="0" borderId="6" xfId="1" applyFont="1" applyFill="1" applyBorder="1"/>
    <xf numFmtId="0" fontId="1" fillId="0" borderId="1" xfId="0" applyNumberFormat="1" applyFont="1" applyFill="1" applyBorder="1"/>
    <xf numFmtId="0" fontId="1" fillId="0" borderId="7" xfId="0" applyNumberFormat="1" applyFont="1" applyFill="1" applyBorder="1"/>
    <xf numFmtId="0" fontId="1" fillId="0" borderId="4" xfId="0" applyNumberFormat="1" applyFont="1" applyFill="1" applyBorder="1"/>
    <xf numFmtId="9" fontId="1" fillId="0" borderId="24" xfId="1" applyFont="1" applyFill="1" applyBorder="1"/>
    <xf numFmtId="9" fontId="1" fillId="0" borderId="23" xfId="1" applyFont="1" applyFill="1" applyBorder="1"/>
    <xf numFmtId="9" fontId="1" fillId="0" borderId="9" xfId="1" applyFont="1" applyFill="1" applyBorder="1"/>
    <xf numFmtId="0" fontId="0" fillId="0" borderId="0" xfId="0" applyAlignment="1">
      <alignment horizontal="left" vertical="top"/>
    </xf>
    <xf numFmtId="0" fontId="1" fillId="11" borderId="2" xfId="0" applyFont="1" applyFill="1" applyBorder="1" applyAlignment="1">
      <alignment horizontal="center"/>
    </xf>
    <xf numFmtId="0" fontId="1" fillId="10" borderId="2" xfId="0" applyFont="1" applyFill="1" applyBorder="1" applyAlignment="1">
      <alignment horizontal="center"/>
    </xf>
    <xf numFmtId="0" fontId="0" fillId="0" borderId="0" xfId="0" applyAlignment="1">
      <alignment vertical="top"/>
    </xf>
    <xf numFmtId="0" fontId="5" fillId="0" borderId="0" xfId="0" applyFont="1" applyAlignment="1" applyProtection="1">
      <alignment horizontal="center" textRotation="90" wrapText="1"/>
      <protection locked="0"/>
    </xf>
    <xf numFmtId="0" fontId="0" fillId="0" borderId="0" xfId="0" applyBorder="1"/>
    <xf numFmtId="0" fontId="4" fillId="11" borderId="28" xfId="0" applyFont="1" applyFill="1" applyBorder="1" applyAlignment="1" applyProtection="1">
      <alignment horizontal="center" textRotation="90"/>
    </xf>
    <xf numFmtId="0" fontId="1" fillId="0" borderId="31" xfId="0" applyFont="1" applyBorder="1"/>
    <xf numFmtId="0" fontId="1" fillId="4" borderId="33" xfId="0" applyFont="1" applyFill="1" applyBorder="1"/>
    <xf numFmtId="0" fontId="1" fillId="3" borderId="33" xfId="0" applyFont="1" applyFill="1" applyBorder="1"/>
    <xf numFmtId="0" fontId="1" fillId="3" borderId="30" xfId="0" applyFont="1" applyFill="1" applyBorder="1"/>
    <xf numFmtId="0" fontId="1" fillId="4" borderId="31" xfId="0" applyFont="1" applyFill="1" applyBorder="1"/>
    <xf numFmtId="0" fontId="2" fillId="11" borderId="32" xfId="0" applyFont="1" applyFill="1" applyBorder="1" applyAlignment="1">
      <alignment horizontal="center"/>
    </xf>
    <xf numFmtId="0" fontId="2" fillId="10" borderId="32" xfId="0" applyFont="1" applyFill="1" applyBorder="1" applyAlignment="1">
      <alignment horizontal="center"/>
    </xf>
    <xf numFmtId="0" fontId="2" fillId="11" borderId="34" xfId="0" applyFont="1" applyFill="1" applyBorder="1" applyAlignment="1">
      <alignment horizontal="center"/>
    </xf>
    <xf numFmtId="0" fontId="2" fillId="10" borderId="35" xfId="0" applyFont="1" applyFill="1" applyBorder="1" applyAlignment="1">
      <alignment horizontal="center"/>
    </xf>
    <xf numFmtId="0" fontId="1" fillId="13" borderId="2" xfId="0" applyFont="1" applyFill="1" applyBorder="1" applyAlignment="1">
      <alignment horizontal="center" textRotation="90" wrapText="1"/>
    </xf>
    <xf numFmtId="0" fontId="2" fillId="13" borderId="2" xfId="0" applyFont="1" applyFill="1" applyBorder="1" applyAlignment="1">
      <alignment horizontal="center" textRotation="90" wrapText="1"/>
    </xf>
    <xf numFmtId="0" fontId="0" fillId="0" borderId="36" xfId="0" applyBorder="1"/>
    <xf numFmtId="0" fontId="0" fillId="0" borderId="37" xfId="0" applyBorder="1"/>
    <xf numFmtId="0" fontId="0" fillId="0" borderId="38" xfId="0" applyBorder="1"/>
    <xf numFmtId="0" fontId="12" fillId="0" borderId="0" xfId="0" applyFont="1" applyBorder="1"/>
    <xf numFmtId="0" fontId="0" fillId="0" borderId="29" xfId="0" applyBorder="1"/>
    <xf numFmtId="0" fontId="0" fillId="0" borderId="27" xfId="0" applyBorder="1"/>
    <xf numFmtId="0" fontId="14" fillId="0" borderId="0" xfId="0" applyFont="1" applyBorder="1"/>
    <xf numFmtId="0" fontId="1" fillId="0" borderId="0" xfId="0" applyFont="1" applyBorder="1" applyAlignment="1">
      <alignment horizontal="left" vertical="top" wrapText="1"/>
    </xf>
    <xf numFmtId="0" fontId="0" fillId="0" borderId="39" xfId="0" applyBorder="1"/>
    <xf numFmtId="0" fontId="0" fillId="0" borderId="40" xfId="0" applyBorder="1"/>
    <xf numFmtId="0" fontId="0" fillId="0" borderId="41" xfId="0" applyBorder="1"/>
    <xf numFmtId="0" fontId="0" fillId="0" borderId="27" xfId="0" applyBorder="1" applyAlignment="1">
      <alignment horizontal="left" vertical="top"/>
    </xf>
    <xf numFmtId="0" fontId="0" fillId="0" borderId="29" xfId="0" applyBorder="1" applyAlignment="1">
      <alignment horizontal="left" vertical="top"/>
    </xf>
    <xf numFmtId="0" fontId="0" fillId="0" borderId="27" xfId="0" applyBorder="1" applyAlignment="1">
      <alignment vertical="top"/>
    </xf>
    <xf numFmtId="0" fontId="0" fillId="0" borderId="29" xfId="0" applyBorder="1" applyAlignment="1">
      <alignment vertical="top"/>
    </xf>
    <xf numFmtId="0" fontId="13" fillId="0" borderId="0" xfId="0" applyFont="1" applyBorder="1"/>
    <xf numFmtId="0" fontId="20" fillId="0" borderId="0" xfId="2" applyFont="1" applyBorder="1"/>
    <xf numFmtId="0" fontId="1" fillId="12" borderId="2" xfId="0" applyFont="1" applyFill="1" applyBorder="1" applyAlignment="1" applyProtection="1">
      <alignment horizontal="center"/>
      <protection locked="0"/>
    </xf>
    <xf numFmtId="0" fontId="18" fillId="0" borderId="0" xfId="0" applyFont="1" applyBorder="1" applyAlignment="1">
      <alignment horizontal="left" wrapText="1"/>
    </xf>
    <xf numFmtId="0" fontId="21" fillId="0" borderId="0" xfId="2" applyFont="1" applyBorder="1"/>
    <xf numFmtId="0" fontId="22" fillId="0" borderId="0" xfId="2" applyFont="1" applyBorder="1"/>
    <xf numFmtId="0" fontId="22" fillId="0" borderId="0" xfId="2" applyFont="1" applyBorder="1" applyAlignment="1">
      <alignment horizontal="left"/>
    </xf>
    <xf numFmtId="49" fontId="0" fillId="0" borderId="0" xfId="0" applyNumberFormat="1"/>
    <xf numFmtId="0" fontId="0" fillId="0" borderId="0" xfId="0" applyNumberFormat="1"/>
    <xf numFmtId="0" fontId="23" fillId="14" borderId="2" xfId="0" applyFont="1" applyFill="1" applyBorder="1"/>
    <xf numFmtId="0" fontId="0" fillId="0" borderId="42" xfId="0" applyFill="1" applyBorder="1"/>
    <xf numFmtId="0" fontId="0" fillId="0" borderId="42" xfId="0" applyFill="1" applyBorder="1" applyAlignment="1">
      <alignment horizontal="left"/>
    </xf>
    <xf numFmtId="0" fontId="0" fillId="0" borderId="42" xfId="0" applyBorder="1"/>
    <xf numFmtId="0" fontId="0" fillId="0" borderId="42" xfId="0" applyFill="1" applyBorder="1" applyAlignment="1">
      <alignment vertical="top"/>
    </xf>
    <xf numFmtId="49" fontId="0" fillId="0" borderId="42" xfId="0" applyNumberFormat="1" applyFill="1" applyBorder="1"/>
    <xf numFmtId="49" fontId="0" fillId="0" borderId="42" xfId="0" quotePrefix="1" applyNumberFormat="1" applyFill="1" applyBorder="1"/>
    <xf numFmtId="0" fontId="0" fillId="0" borderId="42" xfId="0" applyBorder="1" applyAlignment="1">
      <alignment vertical="top"/>
    </xf>
    <xf numFmtId="0" fontId="0" fillId="0" borderId="43" xfId="0" applyBorder="1"/>
    <xf numFmtId="0" fontId="0" fillId="0" borderId="44" xfId="0" applyBorder="1"/>
    <xf numFmtId="0" fontId="0" fillId="0" borderId="43" xfId="0" applyBorder="1" applyAlignment="1">
      <alignment vertical="top"/>
    </xf>
    <xf numFmtId="0" fontId="0" fillId="0" borderId="43" xfId="0" applyFill="1" applyBorder="1" applyAlignment="1">
      <alignment vertical="top"/>
    </xf>
    <xf numFmtId="0" fontId="0" fillId="0" borderId="45" xfId="0" applyFill="1" applyBorder="1"/>
    <xf numFmtId="0" fontId="0" fillId="0" borderId="44" xfId="0" applyFill="1" applyBorder="1"/>
    <xf numFmtId="0" fontId="0" fillId="0" borderId="46" xfId="0" applyFill="1" applyBorder="1" applyAlignment="1">
      <alignment vertical="top"/>
    </xf>
    <xf numFmtId="49" fontId="0" fillId="0" borderId="47" xfId="0" applyNumberFormat="1" applyFill="1" applyBorder="1"/>
    <xf numFmtId="0" fontId="5" fillId="11" borderId="0" xfId="0" applyFont="1" applyFill="1" applyBorder="1" applyProtection="1"/>
    <xf numFmtId="0" fontId="1" fillId="0" borderId="0" xfId="0" applyFont="1" applyBorder="1" applyAlignment="1" applyProtection="1">
      <alignment horizontal="center"/>
      <protection locked="0"/>
    </xf>
    <xf numFmtId="0" fontId="1" fillId="0" borderId="0" xfId="0" applyFont="1" applyBorder="1" applyProtection="1"/>
    <xf numFmtId="0" fontId="1" fillId="0" borderId="48" xfId="0" applyFont="1" applyBorder="1" applyAlignment="1" applyProtection="1">
      <alignment horizontal="center"/>
      <protection locked="0"/>
    </xf>
    <xf numFmtId="0" fontId="1" fillId="0" borderId="2" xfId="0" applyFont="1" applyBorder="1" applyAlignment="1" applyProtection="1">
      <alignment horizontal="center"/>
      <protection locked="0"/>
    </xf>
    <xf numFmtId="0" fontId="5" fillId="11" borderId="21" xfId="0" applyFont="1" applyFill="1" applyBorder="1" applyProtection="1"/>
    <xf numFmtId="164" fontId="1" fillId="0" borderId="0" xfId="0" applyNumberFormat="1" applyFont="1" applyAlignment="1" applyProtection="1">
      <alignment horizontal="center"/>
      <protection locked="0"/>
    </xf>
    <xf numFmtId="0" fontId="8" fillId="2" borderId="0" xfId="0" applyFont="1" applyFill="1" applyBorder="1"/>
    <xf numFmtId="0" fontId="23" fillId="0" borderId="0" xfId="0" applyFont="1"/>
    <xf numFmtId="0" fontId="0" fillId="0" borderId="46" xfId="0" applyBorder="1" applyAlignment="1">
      <alignment vertical="top"/>
    </xf>
    <xf numFmtId="0" fontId="0" fillId="0" borderId="47" xfId="0" applyBorder="1"/>
    <xf numFmtId="0" fontId="1" fillId="0" borderId="0" xfId="0" applyFont="1" applyBorder="1" applyProtection="1">
      <protection locked="0"/>
    </xf>
    <xf numFmtId="164" fontId="1" fillId="0" borderId="0" xfId="0" applyNumberFormat="1" applyFont="1" applyBorder="1" applyAlignment="1" applyProtection="1">
      <alignment horizontal="center"/>
      <protection locked="0"/>
    </xf>
    <xf numFmtId="0" fontId="5" fillId="11" borderId="0" xfId="0" applyNumberFormat="1" applyFont="1" applyFill="1" applyBorder="1" applyProtection="1"/>
    <xf numFmtId="0" fontId="5" fillId="0" borderId="0" xfId="0" applyFont="1" applyBorder="1" applyProtection="1">
      <protection locked="0"/>
    </xf>
    <xf numFmtId="0" fontId="5" fillId="0" borderId="0" xfId="0" applyFont="1" applyBorder="1" applyAlignment="1" applyProtection="1">
      <alignment horizontal="center"/>
      <protection locked="0"/>
    </xf>
    <xf numFmtId="0" fontId="2" fillId="11" borderId="0" xfId="0" applyFont="1" applyFill="1" applyBorder="1" applyAlignment="1"/>
    <xf numFmtId="0" fontId="1" fillId="11" borderId="0" xfId="0" applyFont="1" applyFill="1" applyBorder="1" applyAlignment="1"/>
    <xf numFmtId="0" fontId="2" fillId="10" borderId="0" xfId="0" applyFont="1" applyFill="1" applyBorder="1" applyAlignment="1"/>
    <xf numFmtId="0" fontId="1" fillId="10" borderId="0" xfId="0" applyFont="1" applyFill="1" applyBorder="1" applyAlignment="1"/>
    <xf numFmtId="0" fontId="4" fillId="0" borderId="0" xfId="0" applyFont="1" applyBorder="1" applyProtection="1">
      <protection locked="0"/>
    </xf>
    <xf numFmtId="0" fontId="1" fillId="0" borderId="49" xfId="0" applyFont="1" applyBorder="1"/>
    <xf numFmtId="0" fontId="2" fillId="11" borderId="50" xfId="0" applyFont="1" applyFill="1" applyBorder="1" applyAlignment="1">
      <alignment horizontal="center"/>
    </xf>
    <xf numFmtId="0" fontId="1" fillId="11" borderId="51" xfId="0" applyFont="1" applyFill="1" applyBorder="1"/>
    <xf numFmtId="0" fontId="1" fillId="11" borderId="49" xfId="0" applyFont="1" applyFill="1" applyBorder="1"/>
    <xf numFmtId="0" fontId="1" fillId="11" borderId="52" xfId="0" applyFont="1" applyFill="1" applyBorder="1"/>
    <xf numFmtId="0" fontId="1" fillId="0" borderId="49" xfId="0" applyNumberFormat="1" applyFont="1" applyFill="1" applyBorder="1"/>
    <xf numFmtId="0" fontId="4" fillId="0" borderId="52" xfId="0" applyNumberFormat="1" applyFont="1" applyFill="1" applyBorder="1"/>
    <xf numFmtId="0" fontId="1" fillId="11" borderId="49" xfId="1" applyNumberFormat="1" applyFont="1" applyFill="1" applyBorder="1"/>
    <xf numFmtId="9" fontId="1" fillId="0" borderId="49" xfId="1" applyFont="1" applyFill="1" applyBorder="1"/>
    <xf numFmtId="0" fontId="1" fillId="0" borderId="53" xfId="0" applyFont="1" applyBorder="1"/>
    <xf numFmtId="0" fontId="1" fillId="3" borderId="54" xfId="0" applyFont="1" applyFill="1" applyBorder="1"/>
    <xf numFmtId="0" fontId="1" fillId="11" borderId="55" xfId="0" applyFont="1" applyFill="1" applyBorder="1"/>
    <xf numFmtId="0" fontId="1" fillId="11" borderId="48" xfId="0" applyFont="1" applyFill="1" applyBorder="1"/>
    <xf numFmtId="0" fontId="1" fillId="11" borderId="56" xfId="0" applyFont="1" applyFill="1" applyBorder="1"/>
    <xf numFmtId="0" fontId="1" fillId="0" borderId="55" xfId="0" applyNumberFormat="1" applyFont="1" applyFill="1" applyBorder="1"/>
    <xf numFmtId="0" fontId="4" fillId="0" borderId="56" xfId="0" applyNumberFormat="1" applyFont="1" applyFill="1" applyBorder="1"/>
    <xf numFmtId="0" fontId="1" fillId="11" borderId="55" xfId="0" applyNumberFormat="1" applyFont="1" applyFill="1" applyBorder="1"/>
    <xf numFmtId="9" fontId="1" fillId="0" borderId="57" xfId="1" applyFont="1" applyFill="1" applyBorder="1"/>
    <xf numFmtId="0" fontId="9" fillId="7" borderId="49" xfId="0" applyFont="1" applyFill="1" applyBorder="1"/>
    <xf numFmtId="0" fontId="8" fillId="2" borderId="58" xfId="0" applyFont="1" applyFill="1" applyBorder="1"/>
    <xf numFmtId="0" fontId="1" fillId="0" borderId="61" xfId="0" applyFont="1" applyFill="1" applyBorder="1" applyProtection="1">
      <protection locked="0"/>
    </xf>
    <xf numFmtId="0" fontId="1" fillId="0" borderId="5" xfId="0" applyFont="1" applyFill="1" applyBorder="1" applyProtection="1">
      <protection locked="0"/>
    </xf>
    <xf numFmtId="0" fontId="1" fillId="0" borderId="62" xfId="0" applyFont="1" applyFill="1" applyBorder="1" applyProtection="1">
      <protection locked="0"/>
    </xf>
    <xf numFmtId="0" fontId="2" fillId="10" borderId="63" xfId="0" applyFont="1" applyFill="1" applyBorder="1" applyProtection="1"/>
    <xf numFmtId="0" fontId="2" fillId="10" borderId="64" xfId="0" applyFont="1" applyFill="1" applyBorder="1" applyProtection="1"/>
    <xf numFmtId="0" fontId="1" fillId="5" borderId="0" xfId="0" applyFont="1" applyFill="1"/>
    <xf numFmtId="0" fontId="1" fillId="0" borderId="0" xfId="0" applyFont="1" applyFill="1" applyBorder="1" applyProtection="1">
      <protection locked="0"/>
    </xf>
    <xf numFmtId="0" fontId="1" fillId="0" borderId="27" xfId="0" applyFont="1" applyFill="1" applyBorder="1" applyProtection="1">
      <protection locked="0"/>
    </xf>
    <xf numFmtId="0" fontId="1" fillId="5" borderId="0" xfId="0" applyFont="1" applyFill="1" applyBorder="1"/>
    <xf numFmtId="0" fontId="1" fillId="0" borderId="3" xfId="0" applyFont="1" applyFill="1" applyBorder="1" applyProtection="1">
      <protection locked="0"/>
    </xf>
    <xf numFmtId="0" fontId="1" fillId="0" borderId="2" xfId="0" applyFont="1" applyFill="1" applyBorder="1" applyProtection="1">
      <protection locked="0"/>
    </xf>
    <xf numFmtId="0" fontId="1" fillId="0" borderId="65" xfId="0" applyFont="1" applyFill="1" applyBorder="1" applyProtection="1">
      <protection locked="0"/>
    </xf>
    <xf numFmtId="0" fontId="2" fillId="11" borderId="63" xfId="0" applyFont="1" applyFill="1" applyBorder="1" applyProtection="1"/>
    <xf numFmtId="0" fontId="2" fillId="11" borderId="64" xfId="0" applyFont="1" applyFill="1" applyBorder="1" applyProtection="1"/>
    <xf numFmtId="0" fontId="1" fillId="0" borderId="9" xfId="0" applyFont="1" applyFill="1" applyBorder="1" applyProtection="1">
      <protection locked="0"/>
    </xf>
    <xf numFmtId="0" fontId="1" fillId="0" borderId="8" xfId="0" applyFont="1" applyFill="1" applyBorder="1" applyProtection="1">
      <protection locked="0"/>
    </xf>
    <xf numFmtId="0" fontId="1" fillId="0" borderId="66" xfId="0" applyFont="1" applyFill="1" applyBorder="1" applyProtection="1">
      <protection locked="0"/>
    </xf>
    <xf numFmtId="0" fontId="2" fillId="11" borderId="67" xfId="0" applyFont="1" applyFill="1" applyBorder="1" applyProtection="1"/>
    <xf numFmtId="0" fontId="2" fillId="11" borderId="68" xfId="0" applyFont="1" applyFill="1" applyBorder="1" applyProtection="1"/>
    <xf numFmtId="0" fontId="1" fillId="0" borderId="6" xfId="0" applyFont="1" applyFill="1" applyBorder="1" applyProtection="1">
      <protection locked="0"/>
    </xf>
    <xf numFmtId="0" fontId="1" fillId="0" borderId="69" xfId="0" applyFont="1" applyFill="1" applyBorder="1" applyProtection="1">
      <protection locked="0"/>
    </xf>
    <xf numFmtId="0" fontId="2" fillId="10" borderId="70" xfId="0" applyFont="1" applyFill="1" applyBorder="1" applyProtection="1"/>
    <xf numFmtId="0" fontId="2" fillId="10" borderId="71" xfId="0" applyFont="1" applyFill="1" applyBorder="1" applyProtection="1"/>
    <xf numFmtId="0" fontId="1" fillId="5" borderId="72" xfId="0" applyFont="1" applyFill="1" applyBorder="1"/>
    <xf numFmtId="0" fontId="1" fillId="0" borderId="73" xfId="0" applyFont="1" applyFill="1" applyBorder="1" applyProtection="1">
      <protection locked="0"/>
    </xf>
    <xf numFmtId="0" fontId="1" fillId="0" borderId="74" xfId="0" applyFont="1" applyFill="1" applyBorder="1" applyProtection="1">
      <protection locked="0"/>
    </xf>
    <xf numFmtId="0" fontId="2" fillId="11" borderId="75" xfId="0" applyFont="1" applyFill="1" applyBorder="1" applyProtection="1"/>
    <xf numFmtId="0" fontId="2" fillId="11" borderId="76" xfId="0" applyFont="1" applyFill="1" applyBorder="1" applyProtection="1"/>
    <xf numFmtId="0" fontId="8" fillId="2" borderId="60" xfId="0" applyNumberFormat="1" applyFont="1" applyFill="1" applyBorder="1" applyAlignment="1">
      <alignment horizontal="right"/>
    </xf>
    <xf numFmtId="0" fontId="8" fillId="2" borderId="59" xfId="0" applyNumberFormat="1" applyFont="1" applyFill="1" applyBorder="1" applyAlignment="1">
      <alignment horizontal="right"/>
    </xf>
    <xf numFmtId="0" fontId="8" fillId="2" borderId="60" xfId="0" applyFont="1" applyFill="1" applyBorder="1"/>
    <xf numFmtId="0" fontId="4" fillId="0" borderId="49" xfId="0" applyNumberFormat="1" applyFont="1" applyFill="1" applyBorder="1"/>
    <xf numFmtId="0" fontId="4" fillId="0" borderId="0" xfId="0" applyNumberFormat="1" applyFont="1" applyFill="1" applyBorder="1"/>
    <xf numFmtId="0" fontId="4" fillId="0" borderId="6" xfId="0" applyNumberFormat="1" applyFont="1" applyFill="1" applyBorder="1"/>
    <xf numFmtId="0" fontId="1" fillId="0" borderId="0" xfId="0" applyFont="1" applyBorder="1"/>
    <xf numFmtId="9" fontId="1" fillId="0" borderId="0" xfId="1" applyFont="1" applyFill="1" applyBorder="1"/>
    <xf numFmtId="0" fontId="4" fillId="0" borderId="54" xfId="0" applyNumberFormat="1" applyFont="1" applyFill="1" applyBorder="1"/>
    <xf numFmtId="0" fontId="4" fillId="0" borderId="33" xfId="0" applyNumberFormat="1" applyFont="1" applyFill="1" applyBorder="1"/>
    <xf numFmtId="0" fontId="4" fillId="0" borderId="31" xfId="0" applyNumberFormat="1" applyFont="1" applyFill="1" applyBorder="1"/>
    <xf numFmtId="0" fontId="4" fillId="0" borderId="30" xfId="0" applyNumberFormat="1" applyFont="1" applyFill="1" applyBorder="1"/>
    <xf numFmtId="0" fontId="8" fillId="2" borderId="78" xfId="0" applyNumberFormat="1" applyFont="1" applyFill="1" applyBorder="1" applyAlignment="1">
      <alignment horizontal="center"/>
    </xf>
    <xf numFmtId="1" fontId="1" fillId="0" borderId="0" xfId="0" applyNumberFormat="1" applyFont="1" applyBorder="1" applyAlignment="1" applyProtection="1">
      <alignment horizontal="center"/>
      <protection locked="0"/>
    </xf>
    <xf numFmtId="1" fontId="5" fillId="0" borderId="0" xfId="0" applyNumberFormat="1" applyFont="1" applyBorder="1" applyAlignment="1" applyProtection="1">
      <alignment horizontal="center"/>
      <protection locked="0"/>
    </xf>
    <xf numFmtId="0" fontId="9" fillId="0" borderId="0" xfId="0" applyFont="1"/>
    <xf numFmtId="165" fontId="1" fillId="0" borderId="0" xfId="0" applyNumberFormat="1" applyFont="1" applyBorder="1" applyAlignment="1" applyProtection="1">
      <alignment horizontal="center"/>
    </xf>
    <xf numFmtId="0" fontId="1" fillId="0" borderId="5" xfId="0" applyFont="1" applyBorder="1" applyAlignment="1" applyProtection="1">
      <alignment horizontal="center"/>
      <protection locked="0"/>
    </xf>
    <xf numFmtId="0" fontId="0" fillId="0" borderId="2" xfId="0" applyBorder="1"/>
    <xf numFmtId="0" fontId="23" fillId="0" borderId="2" xfId="0" applyFont="1" applyBorder="1"/>
    <xf numFmtId="0" fontId="0" fillId="0" borderId="3" xfId="0" applyBorder="1"/>
    <xf numFmtId="0" fontId="0" fillId="0" borderId="5" xfId="0" applyBorder="1"/>
    <xf numFmtId="0" fontId="0" fillId="0" borderId="77" xfId="0" applyBorder="1"/>
    <xf numFmtId="0" fontId="0" fillId="0" borderId="1" xfId="0" applyBorder="1"/>
    <xf numFmtId="166" fontId="13" fillId="0" borderId="94" xfId="0" applyNumberFormat="1" applyFont="1" applyFill="1" applyBorder="1" applyAlignment="1">
      <alignment horizontal="center" vertical="center"/>
    </xf>
    <xf numFmtId="0" fontId="0" fillId="0" borderId="33" xfId="0" applyBorder="1"/>
    <xf numFmtId="0" fontId="26" fillId="0" borderId="96" xfId="0" applyFont="1" applyBorder="1" applyAlignment="1">
      <alignment horizontal="left"/>
    </xf>
    <xf numFmtId="0" fontId="26" fillId="0" borderId="97" xfId="0" applyFont="1" applyBorder="1" applyAlignment="1">
      <alignment horizontal="left"/>
    </xf>
    <xf numFmtId="0" fontId="26" fillId="0" borderId="95" xfId="0" applyFont="1" applyBorder="1" applyAlignment="1">
      <alignment horizontal="left"/>
    </xf>
    <xf numFmtId="0" fontId="5" fillId="0" borderId="5" xfId="0" applyNumberFormat="1" applyFont="1" applyFill="1" applyBorder="1" applyAlignment="1" applyProtection="1">
      <alignment horizontal="left" vertical="top" wrapText="1"/>
    </xf>
    <xf numFmtId="0" fontId="9" fillId="0" borderId="0" xfId="0" applyFont="1" applyBorder="1" applyProtection="1">
      <protection locked="0"/>
    </xf>
    <xf numFmtId="169" fontId="9" fillId="0" borderId="0" xfId="0" applyNumberFormat="1" applyFont="1" applyBorder="1" applyAlignment="1" applyProtection="1">
      <alignment horizontal="center"/>
      <protection locked="0"/>
    </xf>
    <xf numFmtId="0" fontId="9" fillId="0" borderId="0" xfId="0" applyFont="1" applyBorder="1" applyAlignment="1" applyProtection="1">
      <alignment horizontal="center"/>
      <protection locked="0"/>
    </xf>
    <xf numFmtId="165" fontId="9" fillId="0" borderId="0" xfId="0" applyNumberFormat="1" applyFont="1" applyBorder="1" applyAlignment="1" applyProtection="1">
      <alignment horizontal="center"/>
    </xf>
    <xf numFmtId="0" fontId="9" fillId="11" borderId="0" xfId="0" applyNumberFormat="1" applyFont="1" applyFill="1" applyBorder="1" applyProtection="1"/>
    <xf numFmtId="0" fontId="9" fillId="0" borderId="0" xfId="0" applyFont="1" applyProtection="1"/>
    <xf numFmtId="0" fontId="29" fillId="0" borderId="0" xfId="0" applyFont="1" applyBorder="1" applyProtection="1">
      <protection locked="0"/>
    </xf>
    <xf numFmtId="0" fontId="9" fillId="0" borderId="0" xfId="0" applyNumberFormat="1" applyFont="1" applyFill="1" applyBorder="1" applyAlignment="1" applyProtection="1">
      <alignment horizontal="left" vertical="top" wrapText="1"/>
    </xf>
    <xf numFmtId="167" fontId="9" fillId="0" borderId="0" xfId="0" applyNumberFormat="1" applyFont="1" applyBorder="1" applyAlignment="1" applyProtection="1">
      <alignment horizontal="center"/>
      <protection locked="0"/>
    </xf>
    <xf numFmtId="1" fontId="9" fillId="0" borderId="0" xfId="0" applyNumberFormat="1" applyFont="1" applyBorder="1" applyAlignment="1" applyProtection="1">
      <alignment horizontal="center"/>
      <protection locked="0"/>
    </xf>
    <xf numFmtId="0" fontId="5" fillId="0" borderId="48"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165" fontId="1" fillId="0" borderId="0" xfId="0" applyNumberFormat="1" applyFont="1" applyBorder="1" applyAlignment="1" applyProtection="1">
      <alignment horizontal="right"/>
    </xf>
    <xf numFmtId="1" fontId="9" fillId="0" borderId="0" xfId="0" applyNumberFormat="1" applyFont="1" applyProtection="1"/>
    <xf numFmtId="3" fontId="0" fillId="0" borderId="0" xfId="0" applyNumberFormat="1"/>
    <xf numFmtId="1" fontId="0" fillId="0" borderId="0" xfId="0" applyNumberFormat="1"/>
    <xf numFmtId="170" fontId="0" fillId="0" borderId="0" xfId="0" applyNumberFormat="1"/>
    <xf numFmtId="171" fontId="0" fillId="0" borderId="0" xfId="0" applyNumberFormat="1"/>
    <xf numFmtId="172" fontId="0" fillId="0" borderId="0" xfId="0" applyNumberFormat="1"/>
    <xf numFmtId="0" fontId="9" fillId="0" borderId="0" xfId="0" applyFont="1" applyBorder="1" applyAlignment="1" applyProtection="1">
      <alignment horizontal="center"/>
    </xf>
    <xf numFmtId="165" fontId="1" fillId="11" borderId="0" xfId="0" applyNumberFormat="1" applyFont="1" applyFill="1" applyBorder="1" applyAlignment="1" applyProtection="1">
      <alignment horizontal="center"/>
    </xf>
    <xf numFmtId="0" fontId="1" fillId="0" borderId="0" xfId="0" applyFont="1" applyBorder="1" applyAlignment="1">
      <alignment horizontal="left" vertical="top" wrapText="1"/>
    </xf>
    <xf numFmtId="0" fontId="12" fillId="0" borderId="0" xfId="0" applyFont="1" applyBorder="1" applyAlignment="1">
      <alignment horizontal="left"/>
    </xf>
    <xf numFmtId="0" fontId="18" fillId="0" borderId="0" xfId="0" applyFont="1" applyBorder="1" applyAlignment="1">
      <alignment horizontal="left" wrapText="1"/>
    </xf>
    <xf numFmtId="0" fontId="1" fillId="0" borderId="0" xfId="0" applyFont="1" applyBorder="1" applyAlignment="1">
      <alignment horizontal="left" wrapText="1"/>
    </xf>
    <xf numFmtId="0" fontId="2" fillId="9" borderId="3" xfId="0" applyFont="1" applyFill="1" applyBorder="1" applyAlignment="1">
      <alignment horizontal="center"/>
    </xf>
    <xf numFmtId="0" fontId="2" fillId="9" borderId="33" xfId="0" applyFont="1" applyFill="1" applyBorder="1" applyAlignment="1">
      <alignment horizontal="center"/>
    </xf>
    <xf numFmtId="0" fontId="2" fillId="9" borderId="1" xfId="0" applyFont="1" applyFill="1" applyBorder="1" applyAlignment="1">
      <alignment horizontal="center"/>
    </xf>
    <xf numFmtId="0" fontId="2" fillId="8" borderId="3" xfId="0" applyFont="1" applyFill="1" applyBorder="1" applyAlignment="1">
      <alignment horizontal="center"/>
    </xf>
    <xf numFmtId="0" fontId="2" fillId="8" borderId="33" xfId="0" applyFont="1" applyFill="1" applyBorder="1" applyAlignment="1">
      <alignment horizontal="center"/>
    </xf>
    <xf numFmtId="0" fontId="2" fillId="8" borderId="1" xfId="0" applyFont="1" applyFill="1" applyBorder="1" applyAlignment="1">
      <alignment horizontal="center"/>
    </xf>
    <xf numFmtId="0" fontId="1" fillId="13" borderId="2" xfId="0" applyFont="1" applyFill="1" applyBorder="1" applyAlignment="1">
      <alignment horizontal="center" textRotation="90" wrapText="1"/>
    </xf>
    <xf numFmtId="0" fontId="11" fillId="6" borderId="3" xfId="0" applyFont="1" applyFill="1" applyBorder="1" applyAlignment="1">
      <alignment horizontal="center"/>
    </xf>
    <xf numFmtId="0" fontId="11" fillId="6" borderId="1" xfId="0" applyFont="1" applyFill="1" applyBorder="1" applyAlignment="1">
      <alignment horizontal="center"/>
    </xf>
    <xf numFmtId="0" fontId="1" fillId="5" borderId="11" xfId="0" applyFont="1" applyFill="1" applyBorder="1" applyAlignment="1">
      <alignment horizontal="center"/>
    </xf>
    <xf numFmtId="0" fontId="1" fillId="5" borderId="12" xfId="0" applyFont="1" applyFill="1" applyBorder="1" applyAlignment="1">
      <alignment horizontal="center"/>
    </xf>
    <xf numFmtId="0" fontId="1" fillId="5" borderId="6" xfId="0" applyFont="1" applyFill="1" applyBorder="1" applyAlignment="1">
      <alignment horizontal="center"/>
    </xf>
    <xf numFmtId="168" fontId="28" fillId="0" borderId="98" xfId="0" applyNumberFormat="1" applyFont="1" applyBorder="1" applyAlignment="1">
      <alignment horizontal="right"/>
    </xf>
    <xf numFmtId="168" fontId="28" fillId="0" borderId="99" xfId="0" applyNumberFormat="1" applyFont="1" applyBorder="1" applyAlignment="1">
      <alignment horizontal="right"/>
    </xf>
    <xf numFmtId="0" fontId="25" fillId="0" borderId="92" xfId="0" applyFont="1" applyBorder="1" applyAlignment="1">
      <alignment horizontal="center" vertical="center"/>
    </xf>
    <xf numFmtId="0" fontId="25" fillId="0" borderId="93" xfId="0" applyFont="1" applyBorder="1" applyAlignment="1">
      <alignment horizontal="center" vertical="center"/>
    </xf>
    <xf numFmtId="0" fontId="0" fillId="15" borderId="89" xfId="0" applyFill="1" applyBorder="1" applyAlignment="1">
      <alignment horizontal="center"/>
    </xf>
    <xf numFmtId="0" fontId="0" fillId="15" borderId="90" xfId="0" applyFill="1" applyBorder="1" applyAlignment="1">
      <alignment horizontal="center"/>
    </xf>
    <xf numFmtId="0" fontId="0" fillId="15" borderId="91" xfId="0" applyFill="1" applyBorder="1" applyAlignment="1">
      <alignment horizontal="center"/>
    </xf>
    <xf numFmtId="170" fontId="28" fillId="0" borderId="98" xfId="0" applyNumberFormat="1" applyFont="1" applyBorder="1" applyAlignment="1">
      <alignment horizontal="right"/>
    </xf>
    <xf numFmtId="170" fontId="28" fillId="0" borderId="99" xfId="0" applyNumberFormat="1" applyFont="1" applyBorder="1" applyAlignment="1">
      <alignment horizontal="right"/>
    </xf>
    <xf numFmtId="0" fontId="11" fillId="6" borderId="23" xfId="0" applyFont="1" applyFill="1" applyBorder="1" applyAlignment="1">
      <alignment horizontal="center"/>
    </xf>
    <xf numFmtId="0" fontId="11" fillId="6" borderId="0" xfId="0" applyFont="1" applyFill="1" applyBorder="1" applyAlignment="1">
      <alignment horizontal="center"/>
    </xf>
    <xf numFmtId="0" fontId="24" fillId="5" borderId="80" xfId="0" applyFont="1" applyFill="1" applyBorder="1" applyAlignment="1">
      <alignment horizontal="center"/>
    </xf>
    <xf numFmtId="0" fontId="24" fillId="5" borderId="82" xfId="0" applyFont="1" applyFill="1" applyBorder="1" applyAlignment="1">
      <alignment horizontal="center"/>
    </xf>
    <xf numFmtId="0" fontId="1" fillId="5" borderId="84" xfId="0" applyFont="1" applyFill="1" applyBorder="1" applyAlignment="1">
      <alignment horizontal="center" vertical="center"/>
    </xf>
    <xf numFmtId="0" fontId="1" fillId="5" borderId="85" xfId="0" applyFont="1" applyFill="1" applyBorder="1" applyAlignment="1">
      <alignment horizontal="center" vertical="center"/>
    </xf>
    <xf numFmtId="0" fontId="11" fillId="6" borderId="25" xfId="0" applyFont="1" applyFill="1" applyBorder="1" applyAlignment="1">
      <alignment horizontal="center"/>
    </xf>
    <xf numFmtId="0" fontId="24" fillId="5" borderId="79" xfId="0" applyFont="1" applyFill="1" applyBorder="1" applyAlignment="1">
      <alignment horizontal="center"/>
    </xf>
    <xf numFmtId="0" fontId="24" fillId="5" borderId="81" xfId="0" applyFont="1" applyFill="1" applyBorder="1" applyAlignment="1">
      <alignment horizontal="center"/>
    </xf>
    <xf numFmtId="0" fontId="1" fillId="5" borderId="88" xfId="0" applyFont="1" applyFill="1" applyBorder="1" applyAlignment="1">
      <alignment horizontal="center" vertical="center"/>
    </xf>
    <xf numFmtId="0" fontId="1" fillId="5" borderId="83" xfId="0" applyFont="1" applyFill="1" applyBorder="1" applyAlignment="1">
      <alignment horizontal="center" vertical="center"/>
    </xf>
    <xf numFmtId="0" fontId="1" fillId="5" borderId="87" xfId="0" applyFont="1" applyFill="1" applyBorder="1" applyAlignment="1">
      <alignment horizontal="center" vertical="center"/>
    </xf>
    <xf numFmtId="0" fontId="8" fillId="2" borderId="78" xfId="0" applyFont="1" applyFill="1" applyBorder="1" applyAlignment="1">
      <alignment horizontal="left"/>
    </xf>
    <xf numFmtId="0" fontId="24" fillId="5" borderId="8" xfId="0" applyFont="1" applyFill="1" applyBorder="1" applyAlignment="1">
      <alignment horizontal="center"/>
    </xf>
    <xf numFmtId="0" fontId="24" fillId="5" borderId="9" xfId="0" applyFont="1" applyFill="1" applyBorder="1" applyAlignment="1">
      <alignment horizontal="center"/>
    </xf>
    <xf numFmtId="0" fontId="1" fillId="5" borderId="86" xfId="0" applyFont="1" applyFill="1" applyBorder="1" applyAlignment="1">
      <alignment horizontal="center" vertical="center"/>
    </xf>
    <xf numFmtId="0" fontId="1" fillId="5" borderId="73" xfId="0" applyFont="1" applyFill="1" applyBorder="1" applyAlignment="1">
      <alignment horizontal="center" vertical="center"/>
    </xf>
    <xf numFmtId="0" fontId="1" fillId="5" borderId="80" xfId="0" applyFont="1" applyFill="1" applyBorder="1" applyAlignment="1">
      <alignment horizontal="center" vertical="center"/>
    </xf>
    <xf numFmtId="0" fontId="1" fillId="5" borderId="77" xfId="0" applyFont="1" applyFill="1" applyBorder="1" applyAlignment="1">
      <alignment horizontal="center" vertical="center"/>
    </xf>
  </cellXfs>
  <cellStyles count="3">
    <cellStyle name="Hyperlink" xfId="2" builtinId="8"/>
    <cellStyle name="Normal" xfId="0" builtinId="0"/>
    <cellStyle name="Percent" xfId="1" builtinId="5"/>
  </cellStyles>
  <dxfs count="257">
    <dxf>
      <font>
        <b val="0"/>
        <i val="0"/>
        <strike val="0"/>
        <condense val="0"/>
        <extend val="0"/>
        <outline val="0"/>
        <shadow val="0"/>
        <u val="none"/>
        <vertAlign val="baseline"/>
        <sz val="11"/>
        <color theme="0"/>
        <name val="Whitney Light"/>
        <family val="3"/>
        <scheme val="none"/>
      </font>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Whitney Light"/>
        <family val="3"/>
        <scheme val="none"/>
      </font>
      <numFmt numFmtId="165" formatCode="#,##0;[Red]#,##0"/>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0"/>
        <name val="Whitney Light"/>
        <family val="3"/>
        <scheme val="none"/>
      </font>
      <numFmt numFmtId="0" formatCode="General"/>
      <fill>
        <patternFill patternType="lightUp">
          <fgColor rgb="FFEDEDED"/>
          <bgColor rgb="FFDBDBDB"/>
        </patternFill>
      </fill>
      <border diagonalUp="0" diagonalDown="0" outline="0">
        <left/>
        <right/>
        <top/>
        <bottom/>
      </border>
      <protection locked="1" hidden="0"/>
    </dxf>
    <dxf>
      <font>
        <strike val="0"/>
        <outline val="0"/>
        <shadow val="0"/>
        <u val="none"/>
        <vertAlign val="baseline"/>
        <sz val="11"/>
        <color auto="1"/>
        <name val="Whitney Light"/>
        <family val="3"/>
        <scheme val="none"/>
      </font>
      <numFmt numFmtId="0" formatCode="General"/>
      <fill>
        <patternFill patternType="lightUp">
          <fgColor rgb="FFEDEDED"/>
          <bgColor rgb="FFDBDBDB"/>
        </patternFill>
      </fill>
      <protection locked="1" hidden="0"/>
    </dxf>
    <dxf>
      <font>
        <b val="0"/>
        <i val="0"/>
        <strike val="0"/>
        <condense val="0"/>
        <extend val="0"/>
        <outline val="0"/>
        <shadow val="0"/>
        <u val="none"/>
        <vertAlign val="baseline"/>
        <sz val="11"/>
        <color theme="0"/>
        <name val="Whitney Light"/>
        <family val="3"/>
        <scheme val="none"/>
      </font>
      <numFmt numFmtId="165" formatCode="#,##0;[Red]#,##0"/>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Whitney Light"/>
        <family val="3"/>
        <scheme val="none"/>
      </font>
      <numFmt numFmtId="165" formatCode="#,##0;[Red]#,##0"/>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0"/>
        <name val="Whitney Light"/>
        <family val="3"/>
        <scheme val="none"/>
      </font>
      <numFmt numFmtId="165" formatCode="#,##0;[Red]#,##0"/>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Whitney Light"/>
        <family val="3"/>
        <scheme val="none"/>
      </font>
      <numFmt numFmtId="165" formatCode="#,##0;[Red]#,##0"/>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0"/>
        <name val="Whitney Light"/>
        <family val="3"/>
        <scheme val="none"/>
      </font>
      <numFmt numFmtId="165" formatCode="#,##0;[Red]#,##0"/>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Whitney Light"/>
        <family val="3"/>
        <scheme val="none"/>
      </font>
      <numFmt numFmtId="165" formatCode="#,##0;[Red]#,##0"/>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0"/>
        <name val="Whitney Light"/>
        <family val="3"/>
        <scheme val="none"/>
      </font>
      <numFmt numFmtId="165" formatCode="#,##0;[Red]#,##0"/>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Whitney Light"/>
        <family val="3"/>
        <scheme val="none"/>
      </font>
      <numFmt numFmtId="165" formatCode="#,##0;[Red]#,##0"/>
      <alignment horizontal="center" vertical="bottom" textRotation="0" wrapText="0" indent="0" justifyLastLine="0" shrinkToFit="0" readingOrder="0"/>
      <protection locked="1" hidden="0"/>
    </dxf>
    <dxf>
      <font>
        <b val="0"/>
        <i val="0"/>
        <strike val="0"/>
        <condense val="0"/>
        <extend val="0"/>
        <outline val="0"/>
        <shadow val="0"/>
        <u val="none"/>
        <vertAlign val="baseline"/>
        <sz val="11"/>
        <color theme="0"/>
        <name val="Whitney Light"/>
        <family val="3"/>
        <scheme val="none"/>
      </font>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theme="1"/>
        <name val="Whitney Light"/>
        <family val="3"/>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0"/>
        <name val="Whitney Light"/>
        <family val="3"/>
        <scheme val="none"/>
      </font>
      <numFmt numFmtId="1" formatCode="0"/>
      <alignment horizontal="center" vertical="bottom" textRotation="0" wrapText="0" indent="0" justifyLastLine="0" shrinkToFit="0" readingOrder="0"/>
      <border diagonalUp="0" diagonalDown="0" outline="0">
        <left/>
        <right/>
        <top/>
        <bottom/>
      </border>
      <protection locked="0" hidden="0"/>
    </dxf>
    <dxf>
      <font>
        <b val="0"/>
        <i val="0"/>
        <strike val="0"/>
        <condense val="0"/>
        <extend val="0"/>
        <outline val="0"/>
        <shadow val="0"/>
        <u val="none"/>
        <vertAlign val="baseline"/>
        <sz val="11"/>
        <color auto="1"/>
        <name val="Whitney Light"/>
        <family val="3"/>
        <scheme val="none"/>
      </font>
      <numFmt numFmtId="1" formatCode="0"/>
      <alignment horizontal="center" vertical="bottom" textRotation="0" wrapText="0" indent="0" justifyLastLine="0" shrinkToFit="0" readingOrder="0"/>
      <border diagonalUp="0" diagonalDown="0" outline="0">
        <left/>
        <right style="dotted">
          <color auto="1"/>
        </right>
        <top/>
        <bottom/>
      </border>
      <protection locked="0" hidden="0"/>
    </dxf>
    <dxf>
      <font>
        <b val="0"/>
        <i val="0"/>
        <strike val="0"/>
        <condense val="0"/>
        <extend val="0"/>
        <outline val="0"/>
        <shadow val="0"/>
        <u val="none"/>
        <vertAlign val="baseline"/>
        <sz val="11"/>
        <color theme="0"/>
        <name val="Whitney Light"/>
        <family val="3"/>
        <scheme val="none"/>
      </font>
      <border diagonalUp="0" diagonalDown="0" outline="0">
        <left/>
        <right/>
        <top/>
        <bottom/>
      </border>
      <protection locked="0" hidden="0"/>
    </dxf>
    <dxf>
      <font>
        <b val="0"/>
        <i val="0"/>
        <strike val="0"/>
        <condense val="0"/>
        <extend val="0"/>
        <outline val="0"/>
        <shadow val="0"/>
        <u val="none"/>
        <vertAlign val="baseline"/>
        <sz val="11"/>
        <color auto="1"/>
        <name val="Whitney Light"/>
        <family val="3"/>
        <scheme val="none"/>
      </font>
      <border outline="0">
        <left style="dotted">
          <color auto="1"/>
        </left>
        <right/>
      </border>
      <protection locked="0" hidden="0"/>
    </dxf>
    <dxf>
      <font>
        <b val="0"/>
        <i val="0"/>
        <strike val="0"/>
        <condense val="0"/>
        <extend val="0"/>
        <outline val="0"/>
        <shadow val="0"/>
        <u val="none"/>
        <vertAlign val="baseline"/>
        <sz val="11"/>
        <color theme="0"/>
        <name val="Whitney Light"/>
        <family val="3"/>
        <scheme val="none"/>
      </font>
      <alignment horizontal="center" vertical="bottom" textRotation="0" wrapText="0" indent="0" justifyLastLine="0" shrinkToFit="0" readingOrder="0"/>
      <border diagonalUp="0" diagonalDown="0" outline="0">
        <left/>
        <right/>
        <top/>
        <bottom/>
      </border>
      <protection locked="0"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0"/>
        <name val="Whitney Light"/>
        <family val="3"/>
        <scheme val="none"/>
      </font>
      <alignment horizontal="center" vertical="bottom" textRotation="0" wrapText="0" indent="0" justifyLastLine="0" shrinkToFit="0" readingOrder="0"/>
      <border diagonalUp="0" diagonalDown="0" outline="0">
        <left/>
        <right/>
        <top/>
        <bottom/>
      </border>
      <protection locked="0"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0"/>
        <name val="Whitney Light"/>
        <family val="3"/>
        <scheme val="none"/>
      </font>
      <border diagonalUp="0" diagonalDown="0" outline="0">
        <left/>
        <right/>
        <top/>
        <bottom/>
      </border>
      <protection locked="0" hidden="0"/>
    </dxf>
    <dxf>
      <font>
        <strike val="0"/>
        <outline val="0"/>
        <shadow val="0"/>
        <u val="none"/>
        <vertAlign val="baseline"/>
        <sz val="11"/>
        <color theme="1"/>
        <name val="Whitney Light"/>
        <family val="3"/>
        <scheme val="none"/>
      </font>
      <protection locked="0" hidden="0"/>
    </dxf>
    <dxf>
      <font>
        <b val="0"/>
        <i val="0"/>
        <strike val="0"/>
        <condense val="0"/>
        <extend val="0"/>
        <outline val="0"/>
        <shadow val="0"/>
        <u val="none"/>
        <vertAlign val="baseline"/>
        <sz val="11"/>
        <color theme="0"/>
        <name val="Whitney Light"/>
        <family val="3"/>
        <scheme val="none"/>
      </font>
      <numFmt numFmtId="169" formatCode="#.0&quot;/10&quot;"/>
      <alignment horizontal="center" vertical="bottom" textRotation="0" wrapText="0" indent="0" justifyLastLine="0" shrinkToFit="0" readingOrder="0"/>
      <border diagonalUp="0" diagonalDown="0" outline="0">
        <left/>
        <right/>
        <top/>
        <bottom/>
      </border>
      <protection locked="0" hidden="0"/>
    </dxf>
    <dxf>
      <font>
        <strike val="0"/>
        <outline val="0"/>
        <shadow val="0"/>
        <u val="none"/>
        <vertAlign val="baseline"/>
        <sz val="11"/>
        <color theme="1"/>
        <name val="Whitney Light"/>
        <family val="3"/>
        <scheme val="none"/>
      </font>
      <numFmt numFmtId="164" formatCode="#&quot;/10&quo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0"/>
        <name val="Whitney Light"/>
        <family val="3"/>
        <scheme val="none"/>
      </font>
      <border diagonalUp="0" diagonalDown="0" outline="0">
        <left/>
        <right/>
        <top/>
        <bottom/>
      </border>
      <protection locked="0" hidden="0"/>
    </dxf>
    <dxf>
      <font>
        <strike val="0"/>
        <outline val="0"/>
        <shadow val="0"/>
        <u val="none"/>
        <vertAlign val="baseline"/>
        <sz val="11"/>
        <color theme="1"/>
        <name val="Whitney Light"/>
        <family val="3"/>
        <scheme val="none"/>
      </font>
      <protection locked="0" hidden="0"/>
    </dxf>
    <dxf>
      <font>
        <b val="0"/>
        <i val="0"/>
        <strike val="0"/>
        <condense val="0"/>
        <extend val="0"/>
        <outline val="0"/>
        <shadow val="0"/>
        <u val="none"/>
        <vertAlign val="baseline"/>
        <sz val="11"/>
        <color theme="0"/>
        <name val="Whitney Light"/>
        <family val="3"/>
        <scheme val="none"/>
      </font>
      <numFmt numFmtId="167" formatCode="0.0"/>
      <alignment horizontal="center" vertical="bottom" textRotation="0" wrapText="0" indent="0" justifyLastLine="0" shrinkToFit="0" readingOrder="0"/>
      <border diagonalUp="0" diagonalDown="0" outline="0">
        <left/>
        <right/>
        <top/>
        <bottom/>
      </border>
      <protection locked="0"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0"/>
        <name val="Whitney Light"/>
        <family val="3"/>
        <scheme val="none"/>
      </font>
      <numFmt numFmtId="0" formatCode="General"/>
      <fill>
        <patternFill patternType="none">
          <fgColor indexed="64"/>
          <bgColor indexed="65"/>
        </patternFill>
      </fill>
      <alignment horizontal="left" vertical="top" textRotation="0" wrapText="1" indent="0" justifyLastLine="0" shrinkToFit="0" readingOrder="0"/>
      <border diagonalUp="0" diagonalDown="0" outline="0">
        <left/>
        <right/>
        <top/>
        <bottom/>
      </border>
      <protection locked="1" hidden="0"/>
    </dxf>
    <dxf>
      <fill>
        <patternFill patternType="none">
          <fgColor indexed="64"/>
          <bgColor auto="1"/>
        </patternFill>
      </fill>
    </dxf>
    <dxf>
      <font>
        <b val="0"/>
        <i val="0"/>
        <strike val="0"/>
        <condense val="0"/>
        <extend val="0"/>
        <outline val="0"/>
        <shadow val="0"/>
        <u val="none"/>
        <vertAlign val="baseline"/>
        <sz val="11"/>
        <color theme="0"/>
        <name val="Whitney"/>
        <family val="3"/>
        <scheme val="none"/>
      </font>
      <border diagonalUp="0" diagonalDown="0" outline="0">
        <left/>
        <right/>
        <top/>
        <bottom/>
      </border>
      <protection locked="0" hidden="0"/>
    </dxf>
    <dxf>
      <font>
        <strike val="0"/>
        <outline val="0"/>
        <shadow val="0"/>
        <u val="none"/>
        <vertAlign val="baseline"/>
        <sz val="11"/>
        <color auto="1"/>
        <name val="Whitney"/>
        <family val="3"/>
        <scheme val="none"/>
      </font>
      <border outline="0">
        <right style="thin">
          <color theme="0"/>
        </right>
      </border>
      <protection locked="0" hidden="0"/>
    </dxf>
    <dxf>
      <font>
        <strike val="0"/>
        <outline val="0"/>
        <shadow val="0"/>
        <u val="none"/>
        <vertAlign val="baseline"/>
        <sz val="11"/>
        <color theme="0"/>
      </font>
    </dxf>
    <dxf>
      <font>
        <strike val="0"/>
        <outline val="0"/>
        <shadow val="0"/>
        <u val="none"/>
        <vertAlign val="baseline"/>
        <sz val="11"/>
        <color theme="1"/>
        <name val="Whitney Light"/>
        <family val="3"/>
        <scheme val="none"/>
      </font>
      <protection locked="1" hidden="0"/>
    </dxf>
    <dxf>
      <font>
        <strike val="0"/>
        <outline val="0"/>
        <shadow val="0"/>
        <u val="none"/>
        <vertAlign val="baseline"/>
        <sz val="11"/>
        <color theme="1"/>
        <name val="Whitney Light"/>
        <family val="3"/>
        <scheme val="none"/>
      </font>
      <alignment horizontal="general" vertical="top" textRotation="0" wrapText="1" indent="0" justifyLastLine="0" shrinkToFit="0" readingOrder="0"/>
      <protection locked="1" hidden="0"/>
    </dxf>
    <dxf>
      <font>
        <color rgb="FF7030A0"/>
      </font>
    </dxf>
    <dxf>
      <font>
        <color theme="8"/>
      </font>
    </dxf>
    <dxf>
      <font>
        <color theme="9"/>
      </font>
    </dxf>
    <dxf>
      <font>
        <color rgb="FFDBDBDB"/>
      </font>
    </dxf>
    <dxf>
      <fill>
        <patternFill>
          <bgColor rgb="FFE4E383"/>
        </patternFill>
      </fill>
    </dxf>
    <dxf>
      <fill>
        <patternFill>
          <bgColor rgb="FFFFEB84"/>
        </patternFill>
      </fill>
    </dxf>
    <dxf>
      <fill>
        <patternFill>
          <bgColor rgb="FFFCBF7B"/>
        </patternFill>
      </fill>
    </dxf>
    <dxf>
      <fill>
        <patternFill>
          <bgColor rgb="FFF98370"/>
        </patternFill>
      </fill>
    </dxf>
    <dxf>
      <fill>
        <patternFill>
          <bgColor rgb="FFFFEB84"/>
        </patternFill>
      </fill>
    </dxf>
    <dxf>
      <fill>
        <patternFill>
          <bgColor rgb="FFF98370"/>
        </patternFill>
      </fill>
    </dxf>
    <dxf>
      <font>
        <b val="0"/>
        <i/>
      </font>
    </dxf>
    <dxf>
      <font>
        <color rgb="FF7030A0"/>
      </font>
    </dxf>
    <dxf>
      <font>
        <color theme="8"/>
      </font>
    </dxf>
    <dxf>
      <font>
        <color theme="9"/>
      </font>
    </dxf>
    <dxf>
      <fill>
        <patternFill>
          <bgColor rgb="FFF8696B"/>
        </patternFill>
      </fill>
    </dxf>
    <dxf>
      <fill>
        <patternFill>
          <bgColor rgb="FFF98370"/>
        </patternFill>
      </fill>
    </dxf>
    <dxf>
      <fill>
        <patternFill>
          <bgColor rgb="FFFA9473"/>
        </patternFill>
      </fill>
    </dxf>
    <dxf>
      <fill>
        <patternFill>
          <bgColor rgb="FFFCBF7B"/>
        </patternFill>
      </fill>
    </dxf>
    <dxf>
      <fill>
        <patternFill>
          <bgColor rgb="FFFDC87D"/>
        </patternFill>
      </fill>
    </dxf>
    <dxf>
      <fill>
        <patternFill>
          <bgColor rgb="FFFFEB84"/>
        </patternFill>
      </fill>
    </dxf>
    <dxf>
      <fill>
        <patternFill>
          <bgColor rgb="FFE9E583"/>
        </patternFill>
      </fill>
    </dxf>
    <dxf>
      <fill>
        <patternFill>
          <bgColor rgb="FFE4E383"/>
        </patternFill>
      </fill>
    </dxf>
    <dxf>
      <fill>
        <patternFill>
          <bgColor rgb="FFC8DB81"/>
        </patternFill>
      </fill>
    </dxf>
    <dxf>
      <fill>
        <patternFill>
          <bgColor rgb="FFBDD881"/>
        </patternFill>
      </fill>
    </dxf>
    <dxf>
      <fill>
        <patternFill>
          <bgColor rgb="FFACD380"/>
        </patternFill>
      </fill>
    </dxf>
    <dxf>
      <fill>
        <patternFill>
          <bgColor rgb="FF63BE7B"/>
        </patternFill>
      </fill>
    </dxf>
    <dxf>
      <font>
        <color rgb="FFFF0000"/>
      </font>
      <fill>
        <patternFill>
          <bgColor rgb="FFFF0000"/>
        </patternFill>
      </fill>
    </dxf>
    <dxf>
      <font>
        <color rgb="FF7030A0"/>
      </font>
    </dxf>
    <dxf>
      <font>
        <color theme="8"/>
      </font>
    </dxf>
    <dxf>
      <font>
        <color theme="9"/>
      </font>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Whitney Semibold"/>
        <family val="3"/>
        <scheme val="none"/>
      </font>
      <fill>
        <patternFill patternType="solid">
          <fgColor theme="6"/>
          <bgColor theme="6"/>
        </patternFill>
      </fill>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theme="0"/>
        <name val="Whitney Light"/>
        <family val="3"/>
        <scheme val="none"/>
      </font>
      <fill>
        <patternFill patternType="solid">
          <fgColor indexed="64"/>
          <bgColor theme="0"/>
        </patternFill>
      </fill>
    </dxf>
    <dxf>
      <font>
        <b val="0"/>
        <i val="0"/>
        <strike val="0"/>
        <condense val="0"/>
        <extend val="0"/>
        <outline val="0"/>
        <shadow val="0"/>
        <u val="none"/>
        <vertAlign val="baseline"/>
        <sz val="11"/>
        <color theme="1"/>
        <name val="Whitney Light"/>
        <family val="3"/>
        <scheme val="none"/>
      </font>
      <numFmt numFmtId="13" formatCode="0%"/>
      <fill>
        <patternFill patternType="none">
          <fgColor indexed="64"/>
          <bgColor auto="1"/>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dashed">
          <color auto="1"/>
        </left>
        <right style="thin">
          <color theme="0"/>
        </right>
        <top style="thin">
          <color theme="0"/>
        </top>
        <bottom style="thin">
          <color theme="0"/>
        </bottom>
      </border>
    </dxf>
    <dxf>
      <font>
        <b val="0"/>
        <i val="0"/>
        <strike val="0"/>
        <condense val="0"/>
        <extend val="0"/>
        <outline val="0"/>
        <shadow val="0"/>
        <u val="none"/>
        <vertAlign val="baseline"/>
        <sz val="11"/>
        <color auto="1"/>
        <name val="Whitney"/>
        <family val="3"/>
        <scheme val="none"/>
      </font>
      <numFmt numFmtId="0" formatCode="General"/>
      <fill>
        <patternFill patternType="none">
          <fgColor indexed="64"/>
          <bgColor indexed="65"/>
        </patternFill>
      </fill>
      <border diagonalUp="0" diagonalDown="0">
        <left/>
        <right/>
        <top style="thin">
          <color theme="0"/>
        </top>
        <bottom style="thin">
          <color theme="0"/>
        </bottom>
        <vertical/>
        <horizontal/>
      </border>
    </dxf>
    <dxf>
      <font>
        <b val="0"/>
        <i val="0"/>
        <strike val="0"/>
        <condense val="0"/>
        <extend val="0"/>
        <outline val="0"/>
        <shadow val="0"/>
        <u val="none"/>
        <vertAlign val="baseline"/>
        <sz val="11"/>
        <color auto="1"/>
        <name val="Whitney"/>
        <family val="3"/>
        <scheme val="none"/>
      </font>
      <numFmt numFmtId="0" formatCode="General"/>
      <fill>
        <patternFill patternType="none">
          <fgColor indexed="64"/>
          <bgColor auto="1"/>
        </patternFill>
      </fill>
      <border diagonalUp="0" diagonalDown="0">
        <left style="thin">
          <color theme="0"/>
        </left>
        <right style="dashed">
          <color auto="1"/>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none">
          <fgColor indexed="64"/>
          <bgColor auto="1"/>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thin">
          <color theme="0"/>
        </left>
        <right style="dashed">
          <color auto="1"/>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numFmt numFmtId="0" formatCode="General"/>
      <fill>
        <patternFill patternType="lightUp">
          <fgColor rgb="FFEDEDED"/>
          <bgColor rgb="FFDBDBDB"/>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Whitney"/>
        <family val="3"/>
        <scheme val="none"/>
      </font>
      <fill>
        <patternFill patternType="lightUp">
          <fgColor rgb="FFEDEDED"/>
          <bgColor rgb="FFDBDBDB"/>
        </patternFill>
      </fill>
      <alignment horizontal="center" vertical="bottom" textRotation="0" wrapText="0" indent="0" justifyLastLine="0" shrinkToFit="0" readingOrder="0"/>
      <border diagonalUp="0" diagonalDown="0">
        <left style="dashed">
          <color theme="0"/>
        </left>
        <right style="dashed">
          <color auto="1"/>
        </right>
        <top style="thin">
          <color theme="0"/>
        </top>
        <bottom style="thin">
          <color theme="0"/>
        </bottom>
        <vertical/>
      </border>
    </dxf>
    <dxf>
      <font>
        <b val="0"/>
        <i val="0"/>
        <strike val="0"/>
        <condense val="0"/>
        <extend val="0"/>
        <outline val="0"/>
        <shadow val="0"/>
        <u val="none"/>
        <vertAlign val="baseline"/>
        <sz val="11"/>
        <color theme="1"/>
        <name val="Whitney Light"/>
        <family val="3"/>
        <scheme val="none"/>
      </font>
      <fill>
        <patternFill patternType="solid">
          <fgColor theme="6" tint="0.79998168889431442"/>
          <bgColor theme="6" tint="0.79998168889431442"/>
        </patternFill>
      </fill>
      <border diagonalUp="0" diagonalDown="0" outline="0">
        <left/>
        <right style="thin">
          <color theme="0"/>
        </right>
        <top style="thin">
          <color theme="0"/>
        </top>
        <bottom style="thin">
          <color theme="0"/>
        </bottom>
      </border>
    </dxf>
    <dxf>
      <font>
        <b val="0"/>
        <i val="0"/>
        <strike val="0"/>
        <condense val="0"/>
        <extend val="0"/>
        <outline val="0"/>
        <shadow val="0"/>
        <u val="none"/>
        <vertAlign val="baseline"/>
        <sz val="11"/>
        <color theme="1"/>
        <name val="Whitney Light"/>
        <family val="3"/>
        <scheme val="none"/>
      </font>
      <fill>
        <patternFill patternType="solid">
          <fgColor theme="6" tint="0.79998168889431442"/>
          <bgColor theme="6" tint="0.79998168889431442"/>
        </patternFill>
      </fill>
    </dxf>
    <dxf>
      <font>
        <b val="0"/>
        <i val="0"/>
        <strike val="0"/>
        <condense val="0"/>
        <extend val="0"/>
        <outline val="0"/>
        <shadow val="0"/>
        <u val="none"/>
        <vertAlign val="baseline"/>
        <sz val="11"/>
        <color theme="1"/>
        <name val="Whitney Semibold"/>
        <family val="3"/>
        <scheme val="none"/>
      </font>
    </dxf>
    <dxf>
      <font>
        <strike val="0"/>
        <outline val="0"/>
        <shadow val="0"/>
        <u val="none"/>
        <vertAlign val="baseline"/>
        <sz val="11"/>
        <color theme="1"/>
        <name val="Whitney Light"/>
        <family val="3"/>
        <scheme val="none"/>
      </font>
      <numFmt numFmtId="13" formatCode="0%"/>
      <fill>
        <patternFill patternType="none">
          <fgColor indexed="64"/>
          <bgColor auto="1"/>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left style="dashed">
          <color auto="1"/>
        </left>
      </border>
    </dxf>
    <dxf>
      <font>
        <b val="0"/>
        <i val="0"/>
        <strike val="0"/>
        <condense val="0"/>
        <extend val="0"/>
        <outline val="0"/>
        <shadow val="0"/>
        <u val="none"/>
        <vertAlign val="baseline"/>
        <sz val="11"/>
        <color auto="1"/>
        <name val="Whitney"/>
        <family val="3"/>
        <scheme val="none"/>
      </font>
      <numFmt numFmtId="0" formatCode="General"/>
      <fill>
        <patternFill patternType="none">
          <fgColor indexed="64"/>
          <bgColor indexed="65"/>
        </patternFill>
      </fill>
    </dxf>
    <dxf>
      <font>
        <strike val="0"/>
        <outline val="0"/>
        <shadow val="0"/>
        <u val="none"/>
        <vertAlign val="baseline"/>
        <sz val="11"/>
        <color auto="1"/>
        <name val="Whitney"/>
        <family val="3"/>
        <scheme val="none"/>
      </font>
      <numFmt numFmtId="0" formatCode="General"/>
      <fill>
        <patternFill patternType="none">
          <fgColor indexed="64"/>
          <bgColor auto="1"/>
        </patternFill>
      </fill>
      <border diagonalUp="0" diagonalDown="0">
        <left/>
        <right style="dashed">
          <color auto="1"/>
        </right>
      </border>
    </dxf>
    <dxf>
      <font>
        <strike val="0"/>
        <outline val="0"/>
        <shadow val="0"/>
        <u val="none"/>
        <vertAlign val="baseline"/>
        <sz val="11"/>
        <name val="Whitney Light"/>
        <family val="3"/>
        <scheme val="none"/>
      </font>
      <numFmt numFmtId="0" formatCode="General"/>
      <fill>
        <patternFill patternType="none">
          <fgColor indexed="64"/>
          <bgColor auto="1"/>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diagonalUp="0" diagonalDown="0">
        <left/>
        <right style="dashed">
          <color auto="1"/>
        </right>
      </border>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diagonalUp="0" diagonalDown="0">
        <left style="dashed">
          <color auto="1"/>
        </left>
        <right/>
      </border>
    </dxf>
    <dxf>
      <font>
        <strike val="0"/>
        <outline val="0"/>
        <shadow val="0"/>
        <u val="none"/>
        <vertAlign val="baseline"/>
        <sz val="11"/>
        <color theme="1"/>
        <name val="Whitney"/>
        <family val="3"/>
        <scheme val="none"/>
      </font>
      <fill>
        <patternFill patternType="lightUp">
          <fgColor rgb="FFEDEDED"/>
          <bgColor rgb="FFDBDBDB"/>
        </patternFill>
      </fill>
      <alignment horizontal="center" vertical="bottom" textRotation="0" wrapText="0" indent="0" justifyLastLine="0" shrinkToFit="0" readingOrder="0"/>
      <border diagonalUp="0" diagonalDown="0">
        <left style="dashed">
          <color theme="0"/>
        </left>
        <right style="dashed">
          <color auto="1"/>
        </right>
        <vertical/>
      </border>
    </dxf>
    <dxf>
      <font>
        <strike val="0"/>
        <outline val="0"/>
        <shadow val="0"/>
        <u val="none"/>
        <vertAlign val="baseline"/>
        <sz val="11"/>
        <name val="Whitney Light"/>
        <family val="3"/>
        <scheme val="none"/>
      </font>
      <numFmt numFmtId="0" formatCode="General"/>
    </dxf>
    <dxf>
      <font>
        <strike val="0"/>
        <outline val="0"/>
        <shadow val="0"/>
        <u val="none"/>
        <vertAlign val="baseline"/>
        <sz val="11"/>
        <name val="Whitney Light"/>
        <family val="3"/>
        <scheme val="none"/>
      </font>
    </dxf>
    <dxf>
      <font>
        <b/>
        <strike val="0"/>
        <outline val="0"/>
        <shadow val="0"/>
        <u val="none"/>
        <vertAlign val="baseline"/>
        <sz val="11"/>
        <name val="Whitney Semibold"/>
        <family val="3"/>
        <scheme val="none"/>
      </font>
    </dxf>
    <dxf>
      <font>
        <color rgb="FF006100"/>
      </font>
      <fill>
        <patternFill>
          <bgColor rgb="FFC6EFCE"/>
        </patternFill>
      </fill>
    </dxf>
    <dxf>
      <font>
        <color rgb="FF9C5700"/>
      </font>
      <fill>
        <patternFill>
          <bgColor rgb="FFFFEB9C"/>
        </patternFill>
      </fill>
    </dxf>
    <dxf>
      <fill>
        <patternFill patternType="lightDown">
          <fgColor theme="4" tint="0.39994506668294322"/>
        </patternFill>
      </fill>
    </dxf>
    <dxf>
      <fill>
        <patternFill patternType="lightDown">
          <fgColor theme="4" tint="0.39994506668294322"/>
        </patternFill>
      </fill>
    </dxf>
    <dxf>
      <fill>
        <patternFill patternType="lightDown">
          <fgColor theme="4" tint="0.39994506668294322"/>
        </patternFill>
      </fill>
    </dxf>
    <dxf>
      <fill>
        <patternFill patternType="lightDown">
          <fgColor theme="4" tint="0.39994506668294322"/>
        </patternFill>
      </fill>
    </dxf>
    <dxf>
      <fill>
        <patternFill patternType="lightDown">
          <fgColor theme="4" tint="0.39994506668294322"/>
        </patternFill>
      </fill>
    </dxf>
    <dxf>
      <font>
        <b val="0"/>
        <i val="0"/>
        <color auto="1"/>
      </font>
      <fill>
        <patternFill patternType="lightDown">
          <fgColor theme="4" tint="0.39994506668294322"/>
        </patternFill>
      </fill>
    </dxf>
    <dxf>
      <font>
        <b val="0"/>
        <i val="0"/>
        <color auto="1"/>
      </font>
      <fill>
        <patternFill patternType="lightDown">
          <fgColor theme="4" tint="0.39994506668294322"/>
        </patternFill>
      </fill>
    </dxf>
    <dxf>
      <font>
        <b val="0"/>
        <i val="0"/>
        <u val="none"/>
        <color auto="1"/>
      </font>
      <fill>
        <patternFill patternType="lightDown">
          <fgColor theme="4"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1"/>
        <color theme="1"/>
        <name val="Whitney Light"/>
        <family val="3"/>
        <scheme val="none"/>
      </font>
      <fill>
        <patternFill patternType="none">
          <fgColor indexed="64"/>
          <bgColor auto="1"/>
        </patternFill>
      </fill>
      <border diagonalUp="0" diagonalDown="0" outline="0">
        <left style="thin">
          <color theme="0"/>
        </left>
        <right/>
        <top style="thin">
          <color theme="0"/>
        </top>
        <bottom style="thin">
          <color theme="0"/>
        </bottom>
      </border>
      <protection locked="0" hidden="0"/>
    </dxf>
    <dxf>
      <font>
        <b val="0"/>
        <i val="0"/>
        <strike val="0"/>
        <condense val="0"/>
        <extend val="0"/>
        <outline val="0"/>
        <shadow val="0"/>
        <u val="none"/>
        <vertAlign val="baseline"/>
        <sz val="11"/>
        <color theme="1"/>
        <name val="Whitney Light"/>
        <family val="3"/>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1"/>
        <name val="Whitney Light"/>
        <family val="3"/>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1"/>
        <name val="Whitney Light"/>
        <family val="3"/>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1"/>
        <name val="Whitney Light"/>
        <family val="3"/>
        <scheme val="none"/>
      </font>
      <fill>
        <patternFill patternType="none">
          <fgColor indexed="64"/>
          <bgColor auto="1"/>
        </patternFill>
      </fill>
      <border diagonalUp="0" diagonalDown="0" outline="0">
        <left style="thin">
          <color theme="0"/>
        </left>
        <right style="thin">
          <color theme="0"/>
        </right>
        <top style="thin">
          <color theme="0"/>
        </top>
        <bottom style="thin">
          <color theme="0"/>
        </bottom>
      </border>
      <protection locked="0" hidden="0"/>
    </dxf>
    <dxf>
      <font>
        <b val="0"/>
        <i val="0"/>
        <strike val="0"/>
        <condense val="0"/>
        <extend val="0"/>
        <outline val="0"/>
        <shadow val="0"/>
        <u val="none"/>
        <vertAlign val="baseline"/>
        <sz val="11"/>
        <color theme="1"/>
        <name val="Whitney"/>
        <family val="3"/>
        <scheme val="none"/>
      </font>
      <fill>
        <patternFill patternType="lightUp">
          <fgColor rgb="FFDBDBDB"/>
          <bgColor rgb="FFEDEDED"/>
        </patternFill>
      </fill>
      <alignment horizontal="center" vertical="bottom" textRotation="0" wrapText="0" indent="0" justifyLastLine="0" shrinkToFit="0" readingOrder="0"/>
      <border diagonalUp="0" diagonalDown="0">
        <left style="dotted">
          <color auto="1"/>
        </left>
        <right style="dotted">
          <color auto="1"/>
        </right>
        <top style="thin">
          <color theme="0"/>
        </top>
        <bottom style="thin">
          <color theme="0"/>
        </bottom>
        <vertical/>
      </border>
      <protection locked="1" hidden="0"/>
    </dxf>
    <dxf>
      <font>
        <b val="0"/>
        <i val="0"/>
        <strike val="0"/>
        <condense val="0"/>
        <extend val="0"/>
        <outline val="0"/>
        <shadow val="0"/>
        <u val="none"/>
        <vertAlign val="baseline"/>
        <sz val="11"/>
        <color theme="1"/>
        <name val="Whitney"/>
        <family val="3"/>
        <scheme val="none"/>
      </font>
      <fill>
        <patternFill patternType="lightUp">
          <fgColor rgb="FFDBDBDB"/>
          <bgColor rgb="FFEDEDED"/>
        </patternFill>
      </fill>
      <border diagonalUp="0" diagonalDown="0" outline="0">
        <left style="dotted">
          <color auto="1"/>
        </left>
        <right style="thin">
          <color theme="0"/>
        </right>
        <top style="thin">
          <color theme="0"/>
        </top>
        <bottom style="thin">
          <color theme="0"/>
        </bottom>
      </border>
      <protection locked="1" hidden="0"/>
    </dxf>
    <dxf>
      <font>
        <b val="0"/>
        <i val="0"/>
        <strike val="0"/>
        <condense val="0"/>
        <extend val="0"/>
        <outline val="0"/>
        <shadow val="0"/>
        <u val="none"/>
        <vertAlign val="baseline"/>
        <sz val="11"/>
        <color theme="1"/>
        <name val="Whitney Light"/>
        <family val="3"/>
        <scheme val="none"/>
      </font>
      <numFmt numFmtId="0" formatCode="General"/>
      <fill>
        <patternFill patternType="solid">
          <fgColor theme="6" tint="0.79998168889431442"/>
          <bgColor theme="6" tint="0.79998168889431442"/>
        </patternFill>
      </fill>
    </dxf>
    <dxf>
      <border outline="0">
        <bottom style="thick">
          <color theme="0"/>
        </bottom>
      </border>
    </dxf>
    <dxf>
      <font>
        <b/>
        <i val="0"/>
        <strike val="0"/>
        <condense val="0"/>
        <extend val="0"/>
        <outline val="0"/>
        <shadow val="0"/>
        <u val="none"/>
        <vertAlign val="baseline"/>
        <sz val="11"/>
        <color theme="0"/>
        <name val="Whitney Semibold"/>
        <family val="3"/>
        <scheme val="none"/>
      </font>
      <numFmt numFmtId="0" formatCode="General"/>
      <fill>
        <patternFill patternType="solid">
          <fgColor theme="6"/>
          <bgColor theme="6"/>
        </patternFill>
      </fill>
      <alignment horizontal="right" vertical="bottom" textRotation="0" wrapText="0" indent="0" justifyLastLine="0" shrinkToFit="0" readingOrder="0"/>
      <border diagonalUp="0" diagonalDown="0" outline="0">
        <left style="thin">
          <color theme="0"/>
        </left>
        <right style="thin">
          <color theme="0"/>
        </right>
        <top/>
        <bottom/>
      </border>
    </dxf>
    <dxf>
      <font>
        <strike val="0"/>
        <outline val="0"/>
        <shadow val="0"/>
        <u val="none"/>
        <vertAlign val="baseline"/>
        <sz val="11"/>
        <color theme="1"/>
        <name val="Whitney Light"/>
        <family val="3"/>
        <scheme val="none"/>
      </font>
      <fill>
        <patternFill patternType="none">
          <fgColor indexed="64"/>
          <bgColor auto="1"/>
        </patternFill>
      </fill>
      <protection locked="0" hidden="0"/>
    </dxf>
    <dxf>
      <font>
        <strike val="0"/>
        <outline val="0"/>
        <shadow val="0"/>
        <u val="none"/>
        <vertAlign val="baseline"/>
        <sz val="11"/>
        <color theme="1"/>
        <name val="Whitney Light"/>
        <family val="3"/>
        <scheme val="none"/>
      </font>
      <fill>
        <patternFill patternType="none">
          <fgColor indexed="64"/>
          <bgColor auto="1"/>
        </patternFill>
      </fill>
      <protection locked="0" hidden="0"/>
    </dxf>
    <dxf>
      <font>
        <strike val="0"/>
        <outline val="0"/>
        <shadow val="0"/>
        <u val="none"/>
        <vertAlign val="baseline"/>
        <sz val="11"/>
        <color theme="1"/>
        <name val="Whitney Light"/>
        <family val="3"/>
        <scheme val="none"/>
      </font>
      <fill>
        <patternFill patternType="none">
          <fgColor indexed="64"/>
          <bgColor auto="1"/>
        </patternFill>
      </fill>
      <protection locked="0" hidden="0"/>
    </dxf>
    <dxf>
      <font>
        <strike val="0"/>
        <outline val="0"/>
        <shadow val="0"/>
        <u val="none"/>
        <vertAlign val="baseline"/>
        <sz val="11"/>
        <color theme="1"/>
        <name val="Whitney Light"/>
        <family val="3"/>
        <scheme val="none"/>
      </font>
      <fill>
        <patternFill patternType="none">
          <fgColor indexed="64"/>
          <bgColor auto="1"/>
        </patternFill>
      </fill>
      <protection locked="0" hidden="0"/>
    </dxf>
    <dxf>
      <font>
        <strike val="0"/>
        <outline val="0"/>
        <shadow val="0"/>
        <u val="none"/>
        <vertAlign val="baseline"/>
        <sz val="11"/>
        <color theme="1"/>
        <name val="Whitney Light"/>
        <family val="3"/>
        <scheme val="none"/>
      </font>
      <fill>
        <patternFill patternType="none">
          <fgColor indexed="64"/>
          <bgColor auto="1"/>
        </patternFill>
      </fill>
      <border diagonalUp="0" diagonalDown="0" outline="0">
        <left style="dotted">
          <color auto="1"/>
        </left>
      </border>
      <protection locked="0" hidden="0"/>
    </dxf>
    <dxf>
      <font>
        <strike val="0"/>
        <outline val="0"/>
        <shadow val="0"/>
        <u val="none"/>
        <vertAlign val="baseline"/>
        <sz val="11"/>
        <color theme="1"/>
        <name val="Whitney"/>
        <family val="3"/>
        <scheme val="none"/>
      </font>
      <fill>
        <patternFill patternType="lightUp">
          <fgColor rgb="FFDBDBDB"/>
          <bgColor rgb="FFEDEDED"/>
        </patternFill>
      </fill>
      <alignment horizontal="center" vertical="bottom" textRotation="0" wrapText="0" indent="0" justifyLastLine="0" shrinkToFit="0" readingOrder="0"/>
      <border diagonalUp="0" diagonalDown="0">
        <left style="dotted">
          <color auto="1"/>
        </left>
        <right style="dotted">
          <color auto="1"/>
        </right>
        <top style="thin">
          <color theme="0"/>
        </top>
        <bottom style="thin">
          <color theme="0"/>
        </bottom>
        <vertical/>
      </border>
      <protection locked="1" hidden="0"/>
    </dxf>
    <dxf>
      <font>
        <strike val="0"/>
        <outline val="0"/>
        <shadow val="0"/>
        <u val="none"/>
        <vertAlign val="baseline"/>
        <sz val="11"/>
        <color theme="1"/>
        <name val="Whitney"/>
        <family val="3"/>
        <scheme val="none"/>
      </font>
      <fill>
        <patternFill patternType="lightUp">
          <fgColor rgb="FFDBDBDB"/>
          <bgColor rgb="FFEDEDED"/>
        </patternFill>
      </fill>
      <border diagonalUp="0" diagonalDown="0" outline="0">
        <left style="dotted">
          <color auto="1"/>
        </left>
        <right style="thin">
          <color theme="0"/>
        </right>
        <top style="thin">
          <color theme="0"/>
        </top>
        <bottom style="thin">
          <color theme="0"/>
        </bottom>
      </border>
      <protection locked="1" hidden="0"/>
    </dxf>
    <dxf>
      <font>
        <strike val="0"/>
        <outline val="0"/>
        <shadow val="0"/>
        <u val="none"/>
        <vertAlign val="baseline"/>
        <sz val="11"/>
        <color theme="1"/>
        <name val="Whitney Light"/>
        <family val="3"/>
        <scheme val="none"/>
      </font>
    </dxf>
    <dxf>
      <font>
        <strike val="0"/>
        <outline val="0"/>
        <shadow val="0"/>
        <u val="none"/>
        <vertAlign val="baseline"/>
        <sz val="11"/>
        <color theme="1"/>
        <name val="Whitney Semibold"/>
        <family val="3"/>
        <scheme val="none"/>
      </font>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rgb="FFFFFFFF"/>
        <name val="Whitney Light"/>
        <family val="3"/>
        <scheme val="none"/>
      </font>
      <fill>
        <patternFill patternType="solid">
          <fgColor rgb="FF000000"/>
          <bgColor rgb="FFFFFFFF"/>
        </patternFill>
      </fill>
    </dxf>
    <dxf>
      <font>
        <strike val="0"/>
        <outline val="0"/>
        <shadow val="0"/>
        <u val="none"/>
        <vertAlign val="baseline"/>
        <sz val="11"/>
        <color theme="0"/>
        <name val="Whitney Light"/>
        <family val="3"/>
        <scheme val="none"/>
      </font>
      <fill>
        <patternFill patternType="solid">
          <fgColor indexed="64"/>
          <bgColor theme="0"/>
        </patternFill>
      </fill>
    </dxf>
    <dxf>
      <font>
        <strike val="0"/>
        <outline val="0"/>
        <shadow val="0"/>
        <u val="none"/>
        <vertAlign val="baseline"/>
        <sz val="11"/>
        <color theme="1"/>
        <name val="Whitney Light"/>
        <family val="3"/>
        <scheme val="none"/>
      </font>
      <numFmt numFmtId="0" formatCode="General"/>
      <fill>
        <patternFill patternType="none">
          <fgColor indexed="64"/>
          <bgColor auto="1"/>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left style="dashed">
          <color auto="1"/>
        </left>
      </border>
    </dxf>
    <dxf>
      <font>
        <strike val="0"/>
        <outline val="0"/>
        <shadow val="0"/>
        <u val="none"/>
        <vertAlign val="baseline"/>
        <sz val="11"/>
        <color auto="1"/>
        <name val="Whitney"/>
        <family val="3"/>
        <scheme val="none"/>
      </font>
      <numFmt numFmtId="0" formatCode="General"/>
      <fill>
        <patternFill patternType="none">
          <fgColor indexed="64"/>
          <bgColor auto="1"/>
        </patternFill>
      </fill>
      <border diagonalUp="0" diagonalDown="0" outline="0">
        <left/>
        <right style="dashed">
          <color auto="1"/>
        </right>
      </border>
    </dxf>
    <dxf>
      <font>
        <strike val="0"/>
        <outline val="0"/>
        <shadow val="0"/>
        <u val="none"/>
        <vertAlign val="baseline"/>
        <sz val="11"/>
        <name val="Whitney Light"/>
        <family val="3"/>
        <scheme val="none"/>
      </font>
      <numFmt numFmtId="0" formatCode="General"/>
      <fill>
        <patternFill patternType="none">
          <fgColor indexed="64"/>
          <bgColor auto="1"/>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diagonalUp="0" diagonalDown="0">
        <left/>
        <right style="dashed">
          <color auto="1"/>
        </right>
      </border>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dxf>
    <dxf>
      <font>
        <strike val="0"/>
        <outline val="0"/>
        <shadow val="0"/>
        <u val="none"/>
        <vertAlign val="baseline"/>
        <sz val="11"/>
        <name val="Whitney Light"/>
        <family val="3"/>
        <scheme val="none"/>
      </font>
      <numFmt numFmtId="0" formatCode="General"/>
      <fill>
        <patternFill patternType="lightUp">
          <fgColor rgb="FFEDEDED"/>
          <bgColor rgb="FFDBDBDB"/>
        </patternFill>
      </fill>
      <border diagonalUp="0" diagonalDown="0">
        <left style="dashed">
          <color auto="1"/>
        </left>
        <right/>
      </border>
    </dxf>
    <dxf>
      <font>
        <strike val="0"/>
        <outline val="0"/>
        <shadow val="0"/>
        <u val="none"/>
        <vertAlign val="baseline"/>
        <sz val="11"/>
        <color theme="1"/>
        <name val="Whitney"/>
        <family val="3"/>
        <scheme val="none"/>
      </font>
      <fill>
        <patternFill patternType="lightUp">
          <fgColor rgb="FFEDEDED"/>
          <bgColor rgb="FFDBDBDB"/>
        </patternFill>
      </fill>
      <alignment horizontal="center" vertical="bottom" textRotation="0" wrapText="0" indent="0" justifyLastLine="0" shrinkToFit="0" readingOrder="0"/>
      <border diagonalUp="0" diagonalDown="0">
        <left style="thin">
          <color theme="0"/>
        </left>
        <right style="dashed">
          <color auto="1"/>
        </right>
        <top/>
        <bottom/>
        <vertical/>
        <horizontal/>
      </border>
    </dxf>
    <dxf>
      <font>
        <strike val="0"/>
        <outline val="0"/>
        <shadow val="0"/>
        <u val="none"/>
        <vertAlign val="baseline"/>
        <sz val="11"/>
        <name val="Whitney Light"/>
        <family val="3"/>
        <scheme val="none"/>
      </font>
      <numFmt numFmtId="0" formatCode="General"/>
    </dxf>
    <dxf>
      <font>
        <strike val="0"/>
        <outline val="0"/>
        <shadow val="0"/>
        <u val="none"/>
        <vertAlign val="baseline"/>
        <sz val="11"/>
        <name val="Whitney Light"/>
        <family val="3"/>
        <scheme val="none"/>
      </font>
    </dxf>
    <dxf>
      <font>
        <b/>
        <strike val="0"/>
        <outline val="0"/>
        <shadow val="0"/>
        <u val="none"/>
        <vertAlign val="baseline"/>
        <sz val="11"/>
        <name val="Whitney Semibold"/>
        <family val="3"/>
        <scheme val="none"/>
      </font>
    </dxf>
    <dxf>
      <font>
        <color rgb="FF9C5700"/>
      </font>
      <fill>
        <patternFill>
          <bgColor rgb="FFFFEB9C"/>
        </patternFill>
      </fill>
    </dxf>
    <dxf>
      <font>
        <color rgb="FF006100"/>
      </font>
      <fill>
        <patternFill>
          <bgColor rgb="FFC6EFCE"/>
        </patternFill>
      </fill>
    </dxf>
    <dxf>
      <font>
        <strike val="0"/>
        <outline val="0"/>
        <shadow val="0"/>
        <u val="none"/>
        <vertAlign val="baseline"/>
        <sz val="11"/>
        <color theme="1"/>
        <name val="Whitney Light"/>
        <family val="3"/>
        <scheme val="none"/>
      </font>
      <numFmt numFmtId="0" formatCode="General"/>
      <protection locked="1" hidden="0"/>
    </dxf>
    <dxf>
      <font>
        <b val="0"/>
        <i val="0"/>
        <strike val="0"/>
        <condense val="0"/>
        <extend val="0"/>
        <outline val="0"/>
        <shadow val="0"/>
        <u val="none"/>
        <vertAlign val="baseline"/>
        <sz val="11"/>
        <color auto="1"/>
        <name val="Whitney Light"/>
        <family val="3"/>
        <scheme val="none"/>
      </font>
      <alignment horizontal="center" vertical="bottom" textRotation="0" wrapText="0" indent="0" justifyLastLine="0" shrinkToFit="0" readingOrder="0"/>
      <border diagonalUp="0" diagonalDown="0" outline="0">
        <left/>
        <right style="dotted">
          <color auto="1"/>
        </right>
        <top/>
        <bottom/>
      </border>
      <protection locked="0" hidden="0"/>
    </dxf>
    <dxf>
      <font>
        <b val="0"/>
        <i val="0"/>
        <strike val="0"/>
        <condense val="0"/>
        <extend val="0"/>
        <outline val="0"/>
        <shadow val="0"/>
        <u val="none"/>
        <vertAlign val="baseline"/>
        <sz val="11"/>
        <color auto="1"/>
        <name val="Whitney Light"/>
        <family val="3"/>
        <scheme val="none"/>
      </font>
      <border outline="0">
        <left style="dotted">
          <color auto="1"/>
        </left>
      </border>
      <protection locked="0" hidden="0"/>
    </dxf>
    <dxf>
      <font>
        <strike val="0"/>
        <outline val="0"/>
        <shadow val="0"/>
        <u val="none"/>
        <vertAlign val="baseline"/>
        <sz val="11"/>
        <color auto="1"/>
        <name val="Whitney Light"/>
        <family val="3"/>
        <scheme val="none"/>
      </font>
      <numFmt numFmtId="0" formatCode="General"/>
      <fill>
        <patternFill patternType="lightUp">
          <fgColor rgb="FFEDEDED"/>
          <bgColor rgb="FFDBDBDB"/>
        </patternFill>
      </fill>
      <border diagonalUp="0" diagonalDown="0" outline="0">
        <left style="dotted">
          <color auto="1"/>
        </left>
        <right style="dotted">
          <color auto="1"/>
        </right>
        <top/>
        <bottom/>
      </border>
      <protection locked="1"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border outline="0">
        <right style="dotted">
          <color auto="1"/>
        </right>
      </border>
      <protection locked="0"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protection locked="0" hidden="0"/>
    </dxf>
    <dxf>
      <font>
        <strike val="0"/>
        <outline val="0"/>
        <shadow val="0"/>
        <u val="none"/>
        <vertAlign val="baseline"/>
        <sz val="11"/>
        <color theme="1"/>
        <name val="Whitney Light"/>
        <family val="3"/>
        <scheme val="none"/>
      </font>
      <protection locked="0" hidden="0"/>
    </dxf>
    <dxf>
      <font>
        <strike val="0"/>
        <outline val="0"/>
        <shadow val="0"/>
        <u val="none"/>
        <vertAlign val="baseline"/>
        <sz val="11"/>
        <color theme="1"/>
        <name val="Whitney Light"/>
        <family val="3"/>
        <scheme val="none"/>
      </font>
      <numFmt numFmtId="164" formatCode="#&quot;/10&quot;"/>
      <protection locked="0" hidden="0"/>
    </dxf>
    <dxf>
      <font>
        <strike val="0"/>
        <outline val="0"/>
        <shadow val="0"/>
        <u val="none"/>
        <vertAlign val="baseline"/>
        <sz val="11"/>
        <color theme="1"/>
        <name val="Whitney Light"/>
        <family val="3"/>
        <scheme val="none"/>
      </font>
      <protection locked="0" hidden="0"/>
    </dxf>
    <dxf>
      <font>
        <strike val="0"/>
        <outline val="0"/>
        <shadow val="0"/>
        <u val="none"/>
        <vertAlign val="baseline"/>
        <sz val="11"/>
        <color theme="1"/>
        <name val="Whitney Light"/>
        <family val="3"/>
        <scheme val="none"/>
      </font>
      <alignment horizontal="center" vertical="bottom" textRotation="0" wrapText="0" indent="0" justifyLastLine="0" shrinkToFit="0" readingOrder="0"/>
      <protection locked="0" hidden="0"/>
    </dxf>
    <dxf>
      <font>
        <strike val="0"/>
        <outline val="0"/>
        <shadow val="0"/>
        <u val="none"/>
        <vertAlign val="baseline"/>
        <sz val="11"/>
        <color auto="1"/>
        <name val="Whitney"/>
        <family val="3"/>
        <scheme val="none"/>
      </font>
      <protection locked="0" hidden="0"/>
    </dxf>
    <dxf>
      <font>
        <strike val="0"/>
        <outline val="0"/>
        <shadow val="0"/>
        <u val="none"/>
        <vertAlign val="baseline"/>
        <sz val="11"/>
        <color rgb="FF000000"/>
        <name val="Whitney Light"/>
        <family val="3"/>
        <scheme val="none"/>
      </font>
      <protection locked="1" hidden="0"/>
    </dxf>
    <dxf>
      <font>
        <strike val="0"/>
        <outline val="0"/>
        <shadow val="0"/>
        <u val="none"/>
        <vertAlign val="baseline"/>
        <sz val="11"/>
        <color theme="1"/>
        <name val="Whitney Light"/>
        <family val="3"/>
        <scheme val="none"/>
      </font>
      <alignment horizontal="general" vertical="top" textRotation="0" wrapText="1" indent="0" justifyLastLine="0" shrinkToFit="0" readingOrder="0"/>
      <protection locked="1" hidden="0"/>
    </dxf>
    <dxf>
      <font>
        <color rgb="FF7030A0"/>
      </font>
    </dxf>
    <dxf>
      <font>
        <color theme="8"/>
      </font>
    </dxf>
    <dxf>
      <font>
        <color theme="9"/>
      </font>
    </dxf>
    <dxf>
      <fill>
        <patternFill>
          <bgColor rgb="FFF8696B"/>
        </patternFill>
      </fill>
    </dxf>
    <dxf>
      <fill>
        <patternFill>
          <bgColor rgb="FFF98370"/>
        </patternFill>
      </fill>
    </dxf>
    <dxf>
      <fill>
        <patternFill>
          <bgColor rgb="FFFA9473"/>
        </patternFill>
      </fill>
    </dxf>
    <dxf>
      <fill>
        <patternFill>
          <bgColor rgb="FFFCBF7B"/>
        </patternFill>
      </fill>
    </dxf>
    <dxf>
      <fill>
        <patternFill>
          <bgColor rgb="FFFDC87D"/>
        </patternFill>
      </fill>
    </dxf>
    <dxf>
      <fill>
        <patternFill>
          <bgColor rgb="FFFFEB84"/>
        </patternFill>
      </fill>
    </dxf>
    <dxf>
      <fill>
        <patternFill>
          <bgColor rgb="FFE9E583"/>
        </patternFill>
      </fill>
    </dxf>
    <dxf>
      <fill>
        <patternFill>
          <bgColor rgb="FFE4E383"/>
        </patternFill>
      </fill>
    </dxf>
    <dxf>
      <fill>
        <patternFill>
          <bgColor rgb="FFC8DB81"/>
        </patternFill>
      </fill>
    </dxf>
    <dxf>
      <fill>
        <patternFill>
          <bgColor rgb="FFBDD881"/>
        </patternFill>
      </fill>
    </dxf>
    <dxf>
      <fill>
        <patternFill>
          <bgColor rgb="FFACD380"/>
        </patternFill>
      </fill>
    </dxf>
    <dxf>
      <fill>
        <patternFill>
          <bgColor rgb="FF63BE7B"/>
        </patternFill>
      </fill>
    </dxf>
    <dxf>
      <font>
        <color rgb="FFFF0000"/>
      </font>
      <fill>
        <patternFill>
          <bgColor rgb="FFFF0000"/>
        </patternFill>
      </fill>
    </dxf>
    <dxf>
      <font>
        <color rgb="FF7030A0"/>
      </font>
    </dxf>
    <dxf>
      <font>
        <color theme="8"/>
      </font>
    </dxf>
    <dxf>
      <font>
        <color theme="9"/>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hair">
          <color rgb="FFEDEDED"/>
        </left>
        <right/>
        <top style="hair">
          <color rgb="FFEDEDED"/>
        </top>
        <bottom style="hair">
          <color rgb="FFEDEDED"/>
        </bottom>
        <vertical style="hair">
          <color rgb="FFEDEDED"/>
        </vertical>
        <horizontal style="hair">
          <color rgb="FFEDEDED"/>
        </horizontal>
      </border>
    </dxf>
    <dxf>
      <border diagonalUp="0" diagonalDown="0">
        <left/>
        <right style="hair">
          <color rgb="FFEDEDED"/>
        </right>
        <top style="hair">
          <color rgb="FFEDEDED"/>
        </top>
        <bottom style="hair">
          <color rgb="FFEDEDED"/>
        </bottom>
        <vertical style="hair">
          <color rgb="FFEDEDED"/>
        </vertical>
        <horizontal style="hair">
          <color rgb="FFEDEDED"/>
        </horizontal>
      </border>
    </dxf>
    <dxf>
      <border diagonalUp="0" diagonalDown="0">
        <left style="hair">
          <color rgb="FFEDEDED"/>
        </left>
        <right style="hair">
          <color rgb="FFEDEDED"/>
        </right>
        <top/>
        <bottom/>
        <vertical style="hair">
          <color rgb="FFEDEDED"/>
        </vertical>
        <horizontal style="hair">
          <color rgb="FFEDEDED"/>
        </horizontal>
      </border>
    </dxf>
    <dxf>
      <numFmt numFmtId="30" formatCode="@"/>
      <fill>
        <patternFill patternType="none">
          <fgColor indexed="64"/>
          <bgColor auto="1"/>
        </patternFill>
      </fill>
      <border diagonalUp="0" diagonalDown="0">
        <left style="hair">
          <color rgb="FFEDEDED"/>
        </left>
        <right/>
        <top style="hair">
          <color rgb="FFEDEDED"/>
        </top>
        <bottom style="hair">
          <color rgb="FFEDEDED"/>
        </bottom>
        <vertical style="hair">
          <color rgb="FFEDEDED"/>
        </vertical>
        <horizontal style="hair">
          <color rgb="FFEDEDED"/>
        </horizontal>
      </border>
    </dxf>
    <dxf>
      <fill>
        <patternFill patternType="none">
          <fgColor indexed="64"/>
          <bgColor auto="1"/>
        </patternFill>
      </fill>
      <border diagonalUp="0" diagonalDown="0">
        <left style="hair">
          <color rgb="FFEDEDED"/>
        </left>
        <right style="hair">
          <color rgb="FFEDEDED"/>
        </right>
        <top style="hair">
          <color rgb="FFEDEDED"/>
        </top>
        <bottom style="hair">
          <color rgb="FFEDEDED"/>
        </bottom>
        <vertical style="hair">
          <color rgb="FFEDEDED"/>
        </vertical>
        <horizontal style="hair">
          <color rgb="FFEDEDED"/>
        </horizontal>
      </border>
    </dxf>
    <dxf>
      <fill>
        <patternFill patternType="none">
          <fgColor indexed="64"/>
          <bgColor auto="1"/>
        </patternFill>
      </fill>
      <alignment horizontal="general" vertical="top" textRotation="0" wrapText="0" indent="0" justifyLastLine="0" shrinkToFit="0" readingOrder="0"/>
      <border diagonalUp="0" diagonalDown="0">
        <left/>
        <right style="hair">
          <color rgb="FFEDEDED"/>
        </right>
        <top style="hair">
          <color rgb="FFEDEDED"/>
        </top>
        <bottom style="hair">
          <color rgb="FFEDEDED"/>
        </bottom>
        <vertical style="hair">
          <color rgb="FFEDEDED"/>
        </vertical>
        <horizontal style="hair">
          <color rgb="FFEDEDED"/>
        </horizontal>
      </border>
    </dxf>
    <dxf>
      <fill>
        <patternFill patternType="none">
          <fgColor indexed="64"/>
          <bgColor auto="1"/>
        </patternFill>
      </fill>
    </dxf>
    <dxf>
      <fill>
        <patternFill patternType="none">
          <fgColor indexed="64"/>
          <bgColor auto="1"/>
        </patternFill>
      </fill>
      <border diagonalUp="0" diagonalDown="0">
        <left style="hair">
          <color rgb="FFEDEDED"/>
        </left>
        <right style="hair">
          <color rgb="FFEDEDED"/>
        </right>
        <top/>
        <bottom/>
        <vertical style="hair">
          <color rgb="FFEDEDED"/>
        </vertical>
        <horizontal style="hair">
          <color rgb="FFEDEDED"/>
        </horizontal>
      </border>
    </dxf>
    <dxf>
      <border diagonalUp="0" diagonalDown="0">
        <left style="hair">
          <color rgb="FFEDEDED"/>
        </left>
        <right/>
        <top style="hair">
          <color rgb="FFEDEDED"/>
        </top>
        <bottom style="hair">
          <color rgb="FFEDEDED"/>
        </bottom>
        <vertical style="hair">
          <color rgb="FFEDEDED"/>
        </vertical>
        <horizontal style="hair">
          <color rgb="FFEDEDED"/>
        </horizontal>
      </border>
    </dxf>
    <dxf>
      <alignment horizontal="general" vertical="top" textRotation="0" wrapText="0" indent="0" justifyLastLine="0" shrinkToFit="0" readingOrder="0"/>
      <border diagonalUp="0" diagonalDown="0">
        <left/>
        <right style="hair">
          <color rgb="FFEDEDED"/>
        </right>
        <top style="hair">
          <color rgb="FFEDEDED"/>
        </top>
        <bottom style="hair">
          <color rgb="FFEDEDED"/>
        </bottom>
        <vertical style="hair">
          <color rgb="FFEDEDED"/>
        </vertical>
        <horizontal style="hair">
          <color rgb="FFEDEDED"/>
        </horizontal>
      </border>
    </dxf>
    <dxf>
      <border diagonalUp="0" diagonalDown="0">
        <left style="hair">
          <color rgb="FFEDEDED"/>
        </left>
        <right style="hair">
          <color rgb="FFEDEDED"/>
        </right>
        <top/>
        <bottom/>
        <vertical style="hair">
          <color rgb="FFEDEDED"/>
        </vertical>
        <horizontal style="hair">
          <color rgb="FFEDEDED"/>
        </horizontal>
      </border>
    </dxf>
    <dxf>
      <border diagonalUp="0" diagonalDown="0">
        <left style="hair">
          <color rgb="FFEDEDED"/>
        </left>
        <right/>
        <top style="hair">
          <color rgb="FFEDEDED"/>
        </top>
        <bottom style="hair">
          <color rgb="FFEDEDED"/>
        </bottom>
        <vertical style="hair">
          <color rgb="FFEDEDED"/>
        </vertical>
        <horizontal style="hair">
          <color rgb="FFEDEDED"/>
        </horizontal>
      </border>
    </dxf>
    <dxf>
      <alignment horizontal="general" vertical="top" textRotation="0" wrapText="0" indent="0" justifyLastLine="0" shrinkToFit="0" readingOrder="0"/>
      <border diagonalUp="0" diagonalDown="0">
        <left/>
        <right style="hair">
          <color rgb="FFEDEDED"/>
        </right>
        <top style="hair">
          <color rgb="FFEDEDED"/>
        </top>
        <bottom style="hair">
          <color rgb="FFEDEDED"/>
        </bottom>
        <vertical style="hair">
          <color rgb="FFEDEDED"/>
        </vertical>
        <horizontal style="hair">
          <color rgb="FFEDEDED"/>
        </horizontal>
      </border>
    </dxf>
    <dxf>
      <border diagonalUp="0" diagonalDown="0">
        <left style="hair">
          <color rgb="FFEDEDED"/>
        </left>
        <right style="hair">
          <color rgb="FFEDEDED"/>
        </right>
        <top/>
        <bottom/>
        <vertical style="hair">
          <color rgb="FFEDEDED"/>
        </vertical>
        <horizontal style="hair">
          <color rgb="FFEDEDED"/>
        </horizontal>
      </border>
    </dxf>
    <dxf>
      <fill>
        <patternFill patternType="none">
          <fgColor indexed="64"/>
          <bgColor auto="1"/>
        </patternFill>
      </fill>
      <border diagonalUp="0" diagonalDown="0">
        <left style="hair">
          <color rgb="FFEDEDED"/>
        </left>
        <right/>
        <top style="hair">
          <color rgb="FFEDEDED"/>
        </top>
        <bottom style="hair">
          <color rgb="FFEDEDED"/>
        </bottom>
        <vertical style="hair">
          <color rgb="FFEDEDED"/>
        </vertical>
        <horizontal style="hair">
          <color rgb="FFEDEDED"/>
        </horizontal>
      </border>
    </dxf>
    <dxf>
      <fill>
        <patternFill patternType="none">
          <fgColor indexed="64"/>
          <bgColor auto="1"/>
        </patternFill>
      </fill>
      <border diagonalUp="0" diagonalDown="0">
        <left style="hair">
          <color rgb="FFEDEDED"/>
        </left>
        <right style="hair">
          <color rgb="FFEDEDED"/>
        </right>
        <top style="hair">
          <color rgb="FFEDEDED"/>
        </top>
        <bottom style="hair">
          <color rgb="FFEDEDED"/>
        </bottom>
        <vertical style="hair">
          <color rgb="FFEDEDED"/>
        </vertical>
        <horizontal style="hair">
          <color rgb="FFEDEDED"/>
        </horizontal>
      </border>
    </dxf>
    <dxf>
      <fill>
        <patternFill patternType="none">
          <fgColor indexed="64"/>
          <bgColor auto="1"/>
        </patternFill>
      </fill>
      <border diagonalUp="0" diagonalDown="0">
        <left style="hair">
          <color rgb="FFEDEDED"/>
        </left>
        <right style="hair">
          <color rgb="FFEDEDED"/>
        </right>
        <top style="hair">
          <color rgb="FFEDEDED"/>
        </top>
        <bottom style="hair">
          <color rgb="FFEDEDED"/>
        </bottom>
        <vertical style="hair">
          <color rgb="FFEDEDED"/>
        </vertical>
        <horizontal style="hair">
          <color rgb="FFEDEDED"/>
        </horizontal>
      </border>
    </dxf>
    <dxf>
      <fill>
        <patternFill patternType="none">
          <fgColor indexed="64"/>
          <bgColor auto="1"/>
        </patternFill>
      </fill>
      <alignment horizontal="general" vertical="top" textRotation="0" wrapText="0" indent="0" justifyLastLine="0" shrinkToFit="0" readingOrder="0"/>
      <border diagonalUp="0" diagonalDown="0">
        <left/>
        <right style="hair">
          <color rgb="FFEDEDED"/>
        </right>
        <top style="hair">
          <color rgb="FFEDEDED"/>
        </top>
        <bottom style="hair">
          <color rgb="FFEDEDED"/>
        </bottom>
        <vertical style="hair">
          <color rgb="FFEDEDED"/>
        </vertical>
        <horizontal style="hair">
          <color rgb="FFEDEDED"/>
        </horizontal>
      </border>
    </dxf>
    <dxf>
      <fill>
        <patternFill patternType="none">
          <fgColor indexed="64"/>
          <bgColor auto="1"/>
        </patternFill>
      </fill>
    </dxf>
    <dxf>
      <fill>
        <patternFill patternType="none">
          <fgColor indexed="64"/>
          <bgColor auto="1"/>
        </patternFill>
      </fill>
      <border diagonalUp="0" diagonalDown="0">
        <left style="hair">
          <color rgb="FFEDEDED"/>
        </left>
        <right style="hair">
          <color rgb="FFEDEDED"/>
        </right>
        <top/>
        <bottom/>
        <vertical style="hair">
          <color rgb="FFEDEDED"/>
        </vertical>
        <horizontal style="hair">
          <color rgb="FFEDEDED"/>
        </horizontal>
      </border>
    </dxf>
    <dxf>
      <alignment horizontal="center" vertical="bottom" textRotation="0" wrapText="0" indent="0" justifyLastLine="0" shrinkToFit="0" readingOrder="0"/>
      <border diagonalUp="0" diagonalDown="0">
        <left/>
        <right style="thin">
          <color theme="0"/>
        </right>
        <top/>
        <bottom/>
        <vertical/>
        <horizontal/>
      </border>
    </dxf>
    <dxf>
      <numFmt numFmtId="0" formatCode="General"/>
    </dxf>
    <dxf>
      <font>
        <strike val="0"/>
        <outline val="0"/>
        <shadow val="0"/>
        <u val="none"/>
        <vertAlign val="baseline"/>
        <sz val="11"/>
        <color auto="1"/>
        <name val="Calibri"/>
        <family val="2"/>
        <scheme val="minor"/>
      </font>
    </dxf>
    <dxf>
      <alignment horizontal="center" vertical="bottom" textRotation="0" wrapText="0" indent="0" justifyLastLine="0" shrinkToFit="0" readingOrder="0"/>
      <border diagonalUp="0" diagonalDown="0">
        <left/>
        <right style="thin">
          <color theme="0"/>
        </right>
        <top/>
        <bottom/>
        <vertical/>
        <horizontal/>
      </border>
    </dxf>
    <dxf>
      <border diagonalUp="0" diagonalDown="0">
        <left style="thin">
          <color theme="0"/>
        </left>
        <right style="thin">
          <color theme="0"/>
        </right>
        <top/>
        <bottom/>
        <vertical style="thin">
          <color theme="0"/>
        </vertical>
        <horizontal/>
      </border>
    </dxf>
  </dxfs>
  <tableStyles count="0" defaultTableStyle="TableStyleMedium2" defaultPivotStyle="PivotStyleLight16"/>
  <colors>
    <mruColors>
      <color rgb="FFF98370"/>
      <color rgb="FFFCBF7B"/>
      <color rgb="FFFFEB84"/>
      <color rgb="FFE4E383"/>
      <color rgb="FFFFCCFF"/>
      <color rgb="FFEEEEEE"/>
      <color rgb="FF59ABE3"/>
      <color rgb="FF87D37C"/>
      <color rgb="FF424242"/>
      <color rgb="FF2231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20.png"/><Relationship Id="rId18" Type="http://schemas.openxmlformats.org/officeDocument/2006/relationships/image" Target="../media/image125.png"/><Relationship Id="rId26" Type="http://schemas.openxmlformats.org/officeDocument/2006/relationships/image" Target="../media/image133.png"/><Relationship Id="rId39" Type="http://schemas.openxmlformats.org/officeDocument/2006/relationships/image" Target="../media/image146.png"/><Relationship Id="rId21" Type="http://schemas.openxmlformats.org/officeDocument/2006/relationships/image" Target="../media/image128.png"/><Relationship Id="rId34" Type="http://schemas.openxmlformats.org/officeDocument/2006/relationships/image" Target="../media/image141.png"/><Relationship Id="rId42" Type="http://schemas.openxmlformats.org/officeDocument/2006/relationships/image" Target="../media/image149.png"/><Relationship Id="rId47" Type="http://schemas.openxmlformats.org/officeDocument/2006/relationships/image" Target="../media/image154.png"/><Relationship Id="rId50" Type="http://schemas.openxmlformats.org/officeDocument/2006/relationships/image" Target="../media/image157.png"/><Relationship Id="rId55" Type="http://schemas.openxmlformats.org/officeDocument/2006/relationships/image" Target="../media/image162.png"/><Relationship Id="rId7" Type="http://schemas.openxmlformats.org/officeDocument/2006/relationships/image" Target="../media/image114.png"/><Relationship Id="rId2" Type="http://schemas.openxmlformats.org/officeDocument/2006/relationships/image" Target="../media/image109.png"/><Relationship Id="rId16" Type="http://schemas.openxmlformats.org/officeDocument/2006/relationships/image" Target="../media/image123.png"/><Relationship Id="rId29" Type="http://schemas.openxmlformats.org/officeDocument/2006/relationships/image" Target="../media/image136.png"/><Relationship Id="rId11" Type="http://schemas.openxmlformats.org/officeDocument/2006/relationships/image" Target="../media/image118.png"/><Relationship Id="rId24" Type="http://schemas.openxmlformats.org/officeDocument/2006/relationships/image" Target="../media/image131.png"/><Relationship Id="rId32" Type="http://schemas.openxmlformats.org/officeDocument/2006/relationships/image" Target="../media/image139.png"/><Relationship Id="rId37" Type="http://schemas.openxmlformats.org/officeDocument/2006/relationships/image" Target="../media/image144.png"/><Relationship Id="rId40" Type="http://schemas.openxmlformats.org/officeDocument/2006/relationships/image" Target="../media/image147.png"/><Relationship Id="rId45" Type="http://schemas.openxmlformats.org/officeDocument/2006/relationships/image" Target="../media/image152.png"/><Relationship Id="rId53" Type="http://schemas.openxmlformats.org/officeDocument/2006/relationships/image" Target="../media/image160.png"/><Relationship Id="rId58" Type="http://schemas.openxmlformats.org/officeDocument/2006/relationships/image" Target="../media/image165.png"/><Relationship Id="rId5" Type="http://schemas.openxmlformats.org/officeDocument/2006/relationships/image" Target="../media/image112.png"/><Relationship Id="rId61" Type="http://schemas.openxmlformats.org/officeDocument/2006/relationships/image" Target="../media/image168.png"/><Relationship Id="rId19" Type="http://schemas.openxmlformats.org/officeDocument/2006/relationships/image" Target="../media/image126.png"/><Relationship Id="rId14" Type="http://schemas.openxmlformats.org/officeDocument/2006/relationships/image" Target="../media/image121.png"/><Relationship Id="rId22" Type="http://schemas.openxmlformats.org/officeDocument/2006/relationships/image" Target="../media/image129.png"/><Relationship Id="rId27" Type="http://schemas.openxmlformats.org/officeDocument/2006/relationships/image" Target="../media/image134.png"/><Relationship Id="rId30" Type="http://schemas.openxmlformats.org/officeDocument/2006/relationships/image" Target="../media/image137.png"/><Relationship Id="rId35" Type="http://schemas.openxmlformats.org/officeDocument/2006/relationships/image" Target="../media/image142.png"/><Relationship Id="rId43" Type="http://schemas.openxmlformats.org/officeDocument/2006/relationships/image" Target="../media/image150.png"/><Relationship Id="rId48" Type="http://schemas.openxmlformats.org/officeDocument/2006/relationships/image" Target="../media/image155.png"/><Relationship Id="rId56" Type="http://schemas.openxmlformats.org/officeDocument/2006/relationships/image" Target="../media/image163.png"/><Relationship Id="rId8" Type="http://schemas.openxmlformats.org/officeDocument/2006/relationships/image" Target="../media/image115.png"/><Relationship Id="rId51" Type="http://schemas.openxmlformats.org/officeDocument/2006/relationships/image" Target="../media/image158.png"/><Relationship Id="rId3" Type="http://schemas.openxmlformats.org/officeDocument/2006/relationships/image" Target="../media/image110.png"/><Relationship Id="rId12" Type="http://schemas.openxmlformats.org/officeDocument/2006/relationships/image" Target="../media/image119.png"/><Relationship Id="rId17" Type="http://schemas.openxmlformats.org/officeDocument/2006/relationships/image" Target="../media/image124.png"/><Relationship Id="rId25" Type="http://schemas.openxmlformats.org/officeDocument/2006/relationships/image" Target="../media/image132.png"/><Relationship Id="rId33" Type="http://schemas.openxmlformats.org/officeDocument/2006/relationships/image" Target="../media/image140.png"/><Relationship Id="rId38" Type="http://schemas.openxmlformats.org/officeDocument/2006/relationships/image" Target="../media/image145.png"/><Relationship Id="rId46" Type="http://schemas.openxmlformats.org/officeDocument/2006/relationships/image" Target="../media/image153.png"/><Relationship Id="rId59" Type="http://schemas.openxmlformats.org/officeDocument/2006/relationships/image" Target="../media/image166.png"/><Relationship Id="rId20" Type="http://schemas.openxmlformats.org/officeDocument/2006/relationships/image" Target="../media/image127.png"/><Relationship Id="rId41" Type="http://schemas.openxmlformats.org/officeDocument/2006/relationships/image" Target="../media/image148.png"/><Relationship Id="rId54" Type="http://schemas.openxmlformats.org/officeDocument/2006/relationships/image" Target="../media/image161.png"/><Relationship Id="rId62" Type="http://schemas.openxmlformats.org/officeDocument/2006/relationships/image" Target="../media/image169.png"/><Relationship Id="rId1" Type="http://schemas.openxmlformats.org/officeDocument/2006/relationships/image" Target="../media/image108.png"/><Relationship Id="rId6" Type="http://schemas.openxmlformats.org/officeDocument/2006/relationships/image" Target="../media/image113.png"/><Relationship Id="rId15" Type="http://schemas.openxmlformats.org/officeDocument/2006/relationships/image" Target="../media/image122.png"/><Relationship Id="rId23" Type="http://schemas.openxmlformats.org/officeDocument/2006/relationships/image" Target="../media/image130.png"/><Relationship Id="rId28" Type="http://schemas.openxmlformats.org/officeDocument/2006/relationships/image" Target="../media/image135.png"/><Relationship Id="rId36" Type="http://schemas.openxmlformats.org/officeDocument/2006/relationships/image" Target="../media/image143.png"/><Relationship Id="rId49" Type="http://schemas.openxmlformats.org/officeDocument/2006/relationships/image" Target="../media/image156.png"/><Relationship Id="rId57" Type="http://schemas.openxmlformats.org/officeDocument/2006/relationships/image" Target="../media/image164.png"/><Relationship Id="rId10" Type="http://schemas.openxmlformats.org/officeDocument/2006/relationships/image" Target="../media/image117.png"/><Relationship Id="rId31" Type="http://schemas.openxmlformats.org/officeDocument/2006/relationships/image" Target="../media/image138.png"/><Relationship Id="rId44" Type="http://schemas.openxmlformats.org/officeDocument/2006/relationships/image" Target="../media/image151.png"/><Relationship Id="rId52" Type="http://schemas.openxmlformats.org/officeDocument/2006/relationships/image" Target="../media/image159.png"/><Relationship Id="rId60" Type="http://schemas.openxmlformats.org/officeDocument/2006/relationships/image" Target="../media/image167.png"/><Relationship Id="rId4" Type="http://schemas.openxmlformats.org/officeDocument/2006/relationships/image" Target="../media/image111.png"/><Relationship Id="rId9" Type="http://schemas.openxmlformats.org/officeDocument/2006/relationships/image" Target="../media/image1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2.png"/><Relationship Id="rId18" Type="http://schemas.openxmlformats.org/officeDocument/2006/relationships/image" Target="../media/image187.png"/><Relationship Id="rId3" Type="http://schemas.openxmlformats.org/officeDocument/2006/relationships/image" Target="../media/image172.png"/><Relationship Id="rId21" Type="http://schemas.openxmlformats.org/officeDocument/2006/relationships/image" Target="../media/image190.png"/><Relationship Id="rId7" Type="http://schemas.openxmlformats.org/officeDocument/2006/relationships/image" Target="../media/image176.png"/><Relationship Id="rId12" Type="http://schemas.openxmlformats.org/officeDocument/2006/relationships/image" Target="../media/image181.png"/><Relationship Id="rId17" Type="http://schemas.openxmlformats.org/officeDocument/2006/relationships/image" Target="../media/image186.png"/><Relationship Id="rId2" Type="http://schemas.openxmlformats.org/officeDocument/2006/relationships/image" Target="../media/image171.png"/><Relationship Id="rId16" Type="http://schemas.openxmlformats.org/officeDocument/2006/relationships/image" Target="../media/image185.png"/><Relationship Id="rId20" Type="http://schemas.openxmlformats.org/officeDocument/2006/relationships/image" Target="../media/image189.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80.png"/><Relationship Id="rId5" Type="http://schemas.openxmlformats.org/officeDocument/2006/relationships/image" Target="../media/image174.png"/><Relationship Id="rId15" Type="http://schemas.openxmlformats.org/officeDocument/2006/relationships/image" Target="../media/image184.png"/><Relationship Id="rId10" Type="http://schemas.openxmlformats.org/officeDocument/2006/relationships/image" Target="../media/image179.png"/><Relationship Id="rId19" Type="http://schemas.openxmlformats.org/officeDocument/2006/relationships/image" Target="../media/image188.png"/><Relationship Id="rId4" Type="http://schemas.openxmlformats.org/officeDocument/2006/relationships/image" Target="../media/image173.png"/><Relationship Id="rId9" Type="http://schemas.openxmlformats.org/officeDocument/2006/relationships/image" Target="../media/image178.png"/><Relationship Id="rId14" Type="http://schemas.openxmlformats.org/officeDocument/2006/relationships/image" Target="../media/image183.png"/><Relationship Id="rId22" Type="http://schemas.openxmlformats.org/officeDocument/2006/relationships/image" Target="../media/image19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9.png"/><Relationship Id="rId3" Type="http://schemas.openxmlformats.org/officeDocument/2006/relationships/image" Target="../media/image172.png"/><Relationship Id="rId7" Type="http://schemas.openxmlformats.org/officeDocument/2006/relationships/image" Target="../media/image189.png"/><Relationship Id="rId12" Type="http://schemas.openxmlformats.org/officeDocument/2006/relationships/image" Target="../media/image171.png"/><Relationship Id="rId2" Type="http://schemas.openxmlformats.org/officeDocument/2006/relationships/image" Target="../media/image187.png"/><Relationship Id="rId1" Type="http://schemas.openxmlformats.org/officeDocument/2006/relationships/image" Target="../media/image181.png"/><Relationship Id="rId6" Type="http://schemas.openxmlformats.org/officeDocument/2006/relationships/image" Target="../media/image183.png"/><Relationship Id="rId11" Type="http://schemas.openxmlformats.org/officeDocument/2006/relationships/image" Target="../media/image173.png"/><Relationship Id="rId5" Type="http://schemas.openxmlformats.org/officeDocument/2006/relationships/image" Target="../media/image188.png"/><Relationship Id="rId10" Type="http://schemas.openxmlformats.org/officeDocument/2006/relationships/image" Target="../media/image178.png"/><Relationship Id="rId4" Type="http://schemas.openxmlformats.org/officeDocument/2006/relationships/image" Target="../media/image170.png"/><Relationship Id="rId9" Type="http://schemas.openxmlformats.org/officeDocument/2006/relationships/image" Target="../media/image18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3" Type="http://schemas.openxmlformats.org/officeDocument/2006/relationships/image" Target="../media/image194.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 Type="http://schemas.openxmlformats.org/officeDocument/2006/relationships/image" Target="../media/image193.png"/><Relationship Id="rId16" Type="http://schemas.openxmlformats.org/officeDocument/2006/relationships/image" Target="../media/image207.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5" Type="http://schemas.openxmlformats.org/officeDocument/2006/relationships/image" Target="../media/image206.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3.png"/><Relationship Id="rId2" Type="http://schemas.openxmlformats.org/officeDocument/2006/relationships/image" Target="../media/image212.png"/><Relationship Id="rId1" Type="http://schemas.openxmlformats.org/officeDocument/2006/relationships/image" Target="../media/image211.png"/><Relationship Id="rId4" Type="http://schemas.openxmlformats.org/officeDocument/2006/relationships/image" Target="../media/image2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5.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1.png"/><Relationship Id="rId13" Type="http://schemas.openxmlformats.org/officeDocument/2006/relationships/image" Target="../media/image226.png"/><Relationship Id="rId18" Type="http://schemas.openxmlformats.org/officeDocument/2006/relationships/image" Target="../media/image230.png"/><Relationship Id="rId3" Type="http://schemas.openxmlformats.org/officeDocument/2006/relationships/image" Target="../media/image217.png"/><Relationship Id="rId7" Type="http://schemas.openxmlformats.org/officeDocument/2006/relationships/image" Target="../media/image220.png"/><Relationship Id="rId12" Type="http://schemas.openxmlformats.org/officeDocument/2006/relationships/image" Target="../media/image225.png"/><Relationship Id="rId17" Type="http://schemas.openxmlformats.org/officeDocument/2006/relationships/image" Target="../media/image229.png"/><Relationship Id="rId2" Type="http://schemas.openxmlformats.org/officeDocument/2006/relationships/image" Target="../media/image216.png"/><Relationship Id="rId16" Type="http://schemas.openxmlformats.org/officeDocument/2006/relationships/image" Target="../media/image198.png"/><Relationship Id="rId1" Type="http://schemas.openxmlformats.org/officeDocument/2006/relationships/image" Target="../media/image215.png"/><Relationship Id="rId6" Type="http://schemas.openxmlformats.org/officeDocument/2006/relationships/image" Target="../media/image219.png"/><Relationship Id="rId11" Type="http://schemas.openxmlformats.org/officeDocument/2006/relationships/image" Target="../media/image224.png"/><Relationship Id="rId5" Type="http://schemas.openxmlformats.org/officeDocument/2006/relationships/image" Target="../media/image218.png"/><Relationship Id="rId15" Type="http://schemas.openxmlformats.org/officeDocument/2006/relationships/image" Target="../media/image228.png"/><Relationship Id="rId10" Type="http://schemas.openxmlformats.org/officeDocument/2006/relationships/image" Target="../media/image223.png"/><Relationship Id="rId4" Type="http://schemas.openxmlformats.org/officeDocument/2006/relationships/image" Target="../media/image203.png"/><Relationship Id="rId9" Type="http://schemas.openxmlformats.org/officeDocument/2006/relationships/image" Target="../media/image222.png"/><Relationship Id="rId14" Type="http://schemas.openxmlformats.org/officeDocument/2006/relationships/image" Target="../media/image22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43.png"/><Relationship Id="rId18" Type="http://schemas.openxmlformats.org/officeDocument/2006/relationships/image" Target="../media/image248.png"/><Relationship Id="rId26" Type="http://schemas.openxmlformats.org/officeDocument/2006/relationships/image" Target="../media/image256.png"/><Relationship Id="rId39" Type="http://schemas.openxmlformats.org/officeDocument/2006/relationships/image" Target="../media/image269.png"/><Relationship Id="rId21" Type="http://schemas.openxmlformats.org/officeDocument/2006/relationships/image" Target="../media/image251.png"/><Relationship Id="rId34" Type="http://schemas.openxmlformats.org/officeDocument/2006/relationships/image" Target="../media/image264.png"/><Relationship Id="rId42" Type="http://schemas.openxmlformats.org/officeDocument/2006/relationships/image" Target="../media/image272.png"/><Relationship Id="rId47" Type="http://schemas.openxmlformats.org/officeDocument/2006/relationships/image" Target="../media/image277.png"/><Relationship Id="rId7" Type="http://schemas.openxmlformats.org/officeDocument/2006/relationships/image" Target="../media/image237.png"/><Relationship Id="rId2" Type="http://schemas.openxmlformats.org/officeDocument/2006/relationships/image" Target="../media/image232.png"/><Relationship Id="rId16" Type="http://schemas.openxmlformats.org/officeDocument/2006/relationships/image" Target="../media/image246.png"/><Relationship Id="rId29" Type="http://schemas.openxmlformats.org/officeDocument/2006/relationships/image" Target="../media/image259.png"/><Relationship Id="rId1" Type="http://schemas.openxmlformats.org/officeDocument/2006/relationships/image" Target="../media/image231.png"/><Relationship Id="rId6" Type="http://schemas.openxmlformats.org/officeDocument/2006/relationships/image" Target="../media/image236.png"/><Relationship Id="rId11" Type="http://schemas.openxmlformats.org/officeDocument/2006/relationships/image" Target="../media/image241.png"/><Relationship Id="rId24" Type="http://schemas.openxmlformats.org/officeDocument/2006/relationships/image" Target="../media/image254.png"/><Relationship Id="rId32" Type="http://schemas.openxmlformats.org/officeDocument/2006/relationships/image" Target="../media/image262.png"/><Relationship Id="rId37" Type="http://schemas.openxmlformats.org/officeDocument/2006/relationships/image" Target="../media/image267.png"/><Relationship Id="rId40" Type="http://schemas.openxmlformats.org/officeDocument/2006/relationships/image" Target="../media/image270.png"/><Relationship Id="rId45" Type="http://schemas.openxmlformats.org/officeDocument/2006/relationships/image" Target="../media/image275.png"/><Relationship Id="rId5" Type="http://schemas.openxmlformats.org/officeDocument/2006/relationships/image" Target="../media/image235.png"/><Relationship Id="rId15" Type="http://schemas.openxmlformats.org/officeDocument/2006/relationships/image" Target="../media/image245.png"/><Relationship Id="rId23" Type="http://schemas.openxmlformats.org/officeDocument/2006/relationships/image" Target="../media/image253.png"/><Relationship Id="rId28" Type="http://schemas.openxmlformats.org/officeDocument/2006/relationships/image" Target="../media/image258.png"/><Relationship Id="rId36" Type="http://schemas.openxmlformats.org/officeDocument/2006/relationships/image" Target="../media/image266.png"/><Relationship Id="rId10" Type="http://schemas.openxmlformats.org/officeDocument/2006/relationships/image" Target="../media/image240.png"/><Relationship Id="rId19" Type="http://schemas.openxmlformats.org/officeDocument/2006/relationships/image" Target="../media/image249.png"/><Relationship Id="rId31" Type="http://schemas.openxmlformats.org/officeDocument/2006/relationships/image" Target="../media/image261.png"/><Relationship Id="rId44" Type="http://schemas.openxmlformats.org/officeDocument/2006/relationships/image" Target="../media/image274.png"/><Relationship Id="rId4" Type="http://schemas.openxmlformats.org/officeDocument/2006/relationships/image" Target="../media/image234.png"/><Relationship Id="rId9" Type="http://schemas.openxmlformats.org/officeDocument/2006/relationships/image" Target="../media/image239.png"/><Relationship Id="rId14" Type="http://schemas.openxmlformats.org/officeDocument/2006/relationships/image" Target="../media/image244.png"/><Relationship Id="rId22" Type="http://schemas.openxmlformats.org/officeDocument/2006/relationships/image" Target="../media/image252.png"/><Relationship Id="rId27" Type="http://schemas.openxmlformats.org/officeDocument/2006/relationships/image" Target="../media/image257.png"/><Relationship Id="rId30" Type="http://schemas.openxmlformats.org/officeDocument/2006/relationships/image" Target="../media/image260.png"/><Relationship Id="rId35" Type="http://schemas.openxmlformats.org/officeDocument/2006/relationships/image" Target="../media/image265.png"/><Relationship Id="rId43" Type="http://schemas.openxmlformats.org/officeDocument/2006/relationships/image" Target="../media/image273.png"/><Relationship Id="rId48" Type="http://schemas.openxmlformats.org/officeDocument/2006/relationships/image" Target="../media/image278.png"/><Relationship Id="rId8" Type="http://schemas.openxmlformats.org/officeDocument/2006/relationships/image" Target="../media/image238.png"/><Relationship Id="rId3" Type="http://schemas.openxmlformats.org/officeDocument/2006/relationships/image" Target="../media/image233.png"/><Relationship Id="rId12" Type="http://schemas.openxmlformats.org/officeDocument/2006/relationships/image" Target="../media/image242.png"/><Relationship Id="rId17" Type="http://schemas.openxmlformats.org/officeDocument/2006/relationships/image" Target="../media/image247.png"/><Relationship Id="rId25" Type="http://schemas.openxmlformats.org/officeDocument/2006/relationships/image" Target="../media/image255.png"/><Relationship Id="rId33" Type="http://schemas.openxmlformats.org/officeDocument/2006/relationships/image" Target="../media/image263.png"/><Relationship Id="rId38" Type="http://schemas.openxmlformats.org/officeDocument/2006/relationships/image" Target="../media/image268.png"/><Relationship Id="rId46" Type="http://schemas.openxmlformats.org/officeDocument/2006/relationships/image" Target="../media/image276.png"/><Relationship Id="rId20" Type="http://schemas.openxmlformats.org/officeDocument/2006/relationships/image" Target="../media/image250.png"/><Relationship Id="rId41" Type="http://schemas.openxmlformats.org/officeDocument/2006/relationships/image" Target="../media/image27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21.png"/><Relationship Id="rId13" Type="http://schemas.openxmlformats.org/officeDocument/2006/relationships/image" Target="../media/image228.png"/><Relationship Id="rId18" Type="http://schemas.openxmlformats.org/officeDocument/2006/relationships/image" Target="../media/image223.png"/><Relationship Id="rId3" Type="http://schemas.openxmlformats.org/officeDocument/2006/relationships/image" Target="../media/image217.png"/><Relationship Id="rId7" Type="http://schemas.openxmlformats.org/officeDocument/2006/relationships/image" Target="../media/image220.png"/><Relationship Id="rId12" Type="http://schemas.openxmlformats.org/officeDocument/2006/relationships/image" Target="../media/image227.png"/><Relationship Id="rId17" Type="http://schemas.openxmlformats.org/officeDocument/2006/relationships/image" Target="../media/image224.png"/><Relationship Id="rId2" Type="http://schemas.openxmlformats.org/officeDocument/2006/relationships/image" Target="../media/image216.png"/><Relationship Id="rId16" Type="http://schemas.openxmlformats.org/officeDocument/2006/relationships/image" Target="../media/image230.png"/><Relationship Id="rId1" Type="http://schemas.openxmlformats.org/officeDocument/2006/relationships/image" Target="../media/image215.png"/><Relationship Id="rId6" Type="http://schemas.openxmlformats.org/officeDocument/2006/relationships/image" Target="../media/image219.png"/><Relationship Id="rId11" Type="http://schemas.openxmlformats.org/officeDocument/2006/relationships/image" Target="../media/image226.png"/><Relationship Id="rId5" Type="http://schemas.openxmlformats.org/officeDocument/2006/relationships/image" Target="../media/image218.png"/><Relationship Id="rId15" Type="http://schemas.openxmlformats.org/officeDocument/2006/relationships/image" Target="../media/image229.png"/><Relationship Id="rId10" Type="http://schemas.openxmlformats.org/officeDocument/2006/relationships/image" Target="../media/image225.png"/><Relationship Id="rId4" Type="http://schemas.openxmlformats.org/officeDocument/2006/relationships/image" Target="../media/image203.png"/><Relationship Id="rId9" Type="http://schemas.openxmlformats.org/officeDocument/2006/relationships/image" Target="../media/image222.png"/><Relationship Id="rId14" Type="http://schemas.openxmlformats.org/officeDocument/2006/relationships/image" Target="../media/image198.png"/></Relationships>
</file>

<file path=xl/drawings/drawing1.xml><?xml version="1.0" encoding="utf-8"?>
<xdr:wsDr xmlns:xdr="http://schemas.openxmlformats.org/drawingml/2006/spreadsheetDrawing" xmlns:a="http://schemas.openxmlformats.org/drawingml/2006/main">
  <xdr:oneCellAnchor>
    <xdr:from>
      <xdr:col>1</xdr:col>
      <xdr:colOff>0</xdr:colOff>
      <xdr:row>2</xdr:row>
      <xdr:rowOff>0</xdr:rowOff>
    </xdr:from>
    <xdr:ext cx="762000" cy="638175"/>
    <xdr:pic>
      <xdr:nvPicPr>
        <xdr:cNvPr id="33" name="Picture 32" descr="Angel Icon">
          <a:extLst>
            <a:ext uri="{FF2B5EF4-FFF2-40B4-BE49-F238E27FC236}">
              <a16:creationId xmlns:a16="http://schemas.microsoft.com/office/drawing/2014/main" id="{0C8B199A-773D-4D1D-886D-A8CB914DC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381000"/>
          <a:ext cx="762000" cy="63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1</xdr:row>
      <xdr:rowOff>0</xdr:rowOff>
    </xdr:from>
    <xdr:to>
      <xdr:col>1</xdr:col>
      <xdr:colOff>762000</xdr:colOff>
      <xdr:row>1</xdr:row>
      <xdr:rowOff>638175</xdr:rowOff>
    </xdr:to>
    <xdr:pic>
      <xdr:nvPicPr>
        <xdr:cNvPr id="34" name="Picture 33" descr="Alchemist Icon">
          <a:extLst>
            <a:ext uri="{FF2B5EF4-FFF2-40B4-BE49-F238E27FC236}">
              <a16:creationId xmlns:a16="http://schemas.microsoft.com/office/drawing/2014/main" id="{6B9A9BDB-B57E-4688-A99A-87CA26C1ED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0500"/>
          <a:ext cx="762000"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xdr:row>
      <xdr:rowOff>0</xdr:rowOff>
    </xdr:from>
    <xdr:to>
      <xdr:col>1</xdr:col>
      <xdr:colOff>749648</xdr:colOff>
      <xdr:row>4</xdr:row>
      <xdr:rowOff>637200</xdr:rowOff>
    </xdr:to>
    <xdr:pic>
      <xdr:nvPicPr>
        <xdr:cNvPr id="35" name="Picture 34" descr="Arctica Icon">
          <a:extLst>
            <a:ext uri="{FF2B5EF4-FFF2-40B4-BE49-F238E27FC236}">
              <a16:creationId xmlns:a16="http://schemas.microsoft.com/office/drawing/2014/main" id="{776596E4-44DC-46BD-A1D8-C29CCFB3E3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1" y="1485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xdr:row>
      <xdr:rowOff>0</xdr:rowOff>
    </xdr:from>
    <xdr:to>
      <xdr:col>2</xdr:col>
      <xdr:colOff>749648</xdr:colOff>
      <xdr:row>4</xdr:row>
      <xdr:rowOff>637200</xdr:rowOff>
    </xdr:to>
    <xdr:pic>
      <xdr:nvPicPr>
        <xdr:cNvPr id="36" name="Picture 35" descr="Evolved Arctica Icon">
          <a:extLst>
            <a:ext uri="{FF2B5EF4-FFF2-40B4-BE49-F238E27FC236}">
              <a16:creationId xmlns:a16="http://schemas.microsoft.com/office/drawing/2014/main" id="{D9C72A37-4F54-4D1A-814A-E9EAF8F4129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71676" y="1485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42</xdr:row>
      <xdr:rowOff>0</xdr:rowOff>
    </xdr:from>
    <xdr:to>
      <xdr:col>1</xdr:col>
      <xdr:colOff>749648</xdr:colOff>
      <xdr:row>42</xdr:row>
      <xdr:rowOff>637200</xdr:rowOff>
    </xdr:to>
    <xdr:pic>
      <xdr:nvPicPr>
        <xdr:cNvPr id="37" name="Picture 36" descr="Paladin Icon">
          <a:extLst>
            <a:ext uri="{FF2B5EF4-FFF2-40B4-BE49-F238E27FC236}">
              <a16:creationId xmlns:a16="http://schemas.microsoft.com/office/drawing/2014/main" id="{26FBB27A-2508-4420-A4BE-C5043222CF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1" y="26098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42</xdr:row>
      <xdr:rowOff>0</xdr:rowOff>
    </xdr:from>
    <xdr:to>
      <xdr:col>2</xdr:col>
      <xdr:colOff>749648</xdr:colOff>
      <xdr:row>42</xdr:row>
      <xdr:rowOff>637200</xdr:rowOff>
    </xdr:to>
    <xdr:pic>
      <xdr:nvPicPr>
        <xdr:cNvPr id="38" name="Picture 37" descr="Evolved Paladin Icon">
          <a:extLst>
            <a:ext uri="{FF2B5EF4-FFF2-40B4-BE49-F238E27FC236}">
              <a16:creationId xmlns:a16="http://schemas.microsoft.com/office/drawing/2014/main" id="{085B1961-3520-4FB2-9477-8B459A7770A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71676" y="26098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53</xdr:row>
      <xdr:rowOff>0</xdr:rowOff>
    </xdr:from>
    <xdr:to>
      <xdr:col>1</xdr:col>
      <xdr:colOff>749648</xdr:colOff>
      <xdr:row>53</xdr:row>
      <xdr:rowOff>637200</xdr:rowOff>
    </xdr:to>
    <xdr:pic>
      <xdr:nvPicPr>
        <xdr:cNvPr id="39" name="Picture 38" descr="Spirit Mage Icon">
          <a:extLst>
            <a:ext uri="{FF2B5EF4-FFF2-40B4-BE49-F238E27FC236}">
              <a16:creationId xmlns:a16="http://schemas.microsoft.com/office/drawing/2014/main" id="{1019BD09-FE77-4A7F-9D0D-AE451CC052F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0151" y="33223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53</xdr:row>
      <xdr:rowOff>0</xdr:rowOff>
    </xdr:from>
    <xdr:to>
      <xdr:col>2</xdr:col>
      <xdr:colOff>749648</xdr:colOff>
      <xdr:row>53</xdr:row>
      <xdr:rowOff>637200</xdr:rowOff>
    </xdr:to>
    <xdr:pic>
      <xdr:nvPicPr>
        <xdr:cNvPr id="40" name="Picture 39" descr="Evolved Spirit Mage Icon">
          <a:extLst>
            <a:ext uri="{FF2B5EF4-FFF2-40B4-BE49-F238E27FC236}">
              <a16:creationId xmlns:a16="http://schemas.microsoft.com/office/drawing/2014/main" id="{5BA78CC8-4CFD-4E0B-B4EF-2ECED83B778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71676" y="33223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39</xdr:row>
      <xdr:rowOff>0</xdr:rowOff>
    </xdr:from>
    <xdr:to>
      <xdr:col>1</xdr:col>
      <xdr:colOff>749648</xdr:colOff>
      <xdr:row>39</xdr:row>
      <xdr:rowOff>637200</xdr:rowOff>
    </xdr:to>
    <xdr:pic>
      <xdr:nvPicPr>
        <xdr:cNvPr id="41" name="Picture 40" descr="Ninja Icon">
          <a:extLst>
            <a:ext uri="{FF2B5EF4-FFF2-40B4-BE49-F238E27FC236}">
              <a16:creationId xmlns:a16="http://schemas.microsoft.com/office/drawing/2014/main" id="{DA7583B6-5CC7-487A-B890-B15A3D718C3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00151" y="24155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39</xdr:row>
      <xdr:rowOff>0</xdr:rowOff>
    </xdr:from>
    <xdr:to>
      <xdr:col>2</xdr:col>
      <xdr:colOff>749648</xdr:colOff>
      <xdr:row>39</xdr:row>
      <xdr:rowOff>637200</xdr:rowOff>
    </xdr:to>
    <xdr:pic>
      <xdr:nvPicPr>
        <xdr:cNvPr id="42" name="Picture 41" descr="Evolved Ninja Icon">
          <a:extLst>
            <a:ext uri="{FF2B5EF4-FFF2-40B4-BE49-F238E27FC236}">
              <a16:creationId xmlns:a16="http://schemas.microsoft.com/office/drawing/2014/main" id="{300ED5C3-5918-4DBF-934D-235141BFB65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71676" y="24155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54</xdr:row>
      <xdr:rowOff>0</xdr:rowOff>
    </xdr:from>
    <xdr:to>
      <xdr:col>1</xdr:col>
      <xdr:colOff>749648</xdr:colOff>
      <xdr:row>54</xdr:row>
      <xdr:rowOff>637200</xdr:rowOff>
    </xdr:to>
    <xdr:pic>
      <xdr:nvPicPr>
        <xdr:cNvPr id="43" name="Picture 42" descr="Succubus Icon">
          <a:extLst>
            <a:ext uri="{FF2B5EF4-FFF2-40B4-BE49-F238E27FC236}">
              <a16:creationId xmlns:a16="http://schemas.microsoft.com/office/drawing/2014/main" id="{4F22CABA-22CC-4A84-8947-3FA3D5B1891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00151" y="33870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54</xdr:row>
      <xdr:rowOff>0</xdr:rowOff>
    </xdr:from>
    <xdr:to>
      <xdr:col>2</xdr:col>
      <xdr:colOff>749648</xdr:colOff>
      <xdr:row>54</xdr:row>
      <xdr:rowOff>637200</xdr:rowOff>
    </xdr:to>
    <xdr:pic>
      <xdr:nvPicPr>
        <xdr:cNvPr id="44" name="Picture 43" descr="Evolved Succubus Icon">
          <a:extLst>
            <a:ext uri="{FF2B5EF4-FFF2-40B4-BE49-F238E27FC236}">
              <a16:creationId xmlns:a16="http://schemas.microsoft.com/office/drawing/2014/main" id="{702A8E5D-5953-462B-B8B3-AFF79DCDCED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71676" y="33870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10</xdr:row>
      <xdr:rowOff>0</xdr:rowOff>
    </xdr:from>
    <xdr:to>
      <xdr:col>1</xdr:col>
      <xdr:colOff>749648</xdr:colOff>
      <xdr:row>10</xdr:row>
      <xdr:rowOff>637200</xdr:rowOff>
    </xdr:to>
    <xdr:pic>
      <xdr:nvPicPr>
        <xdr:cNvPr id="45" name="Picture 44" descr="Champion Icon">
          <a:extLst>
            <a:ext uri="{FF2B5EF4-FFF2-40B4-BE49-F238E27FC236}">
              <a16:creationId xmlns:a16="http://schemas.microsoft.com/office/drawing/2014/main" id="{55803B00-86CB-4F35-B2A0-BC4639695A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00151" y="5372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10</xdr:row>
      <xdr:rowOff>0</xdr:rowOff>
    </xdr:from>
    <xdr:to>
      <xdr:col>2</xdr:col>
      <xdr:colOff>749648</xdr:colOff>
      <xdr:row>10</xdr:row>
      <xdr:rowOff>637200</xdr:rowOff>
    </xdr:to>
    <xdr:pic>
      <xdr:nvPicPr>
        <xdr:cNvPr id="46" name="Picture 45" descr="Evolved Champion Icon">
          <a:extLst>
            <a:ext uri="{FF2B5EF4-FFF2-40B4-BE49-F238E27FC236}">
              <a16:creationId xmlns:a16="http://schemas.microsoft.com/office/drawing/2014/main" id="{92F2A2A1-C28D-4294-8948-94F37F100FB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71676" y="5372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xdr:row>
      <xdr:rowOff>0</xdr:rowOff>
    </xdr:from>
    <xdr:to>
      <xdr:col>1</xdr:col>
      <xdr:colOff>749648</xdr:colOff>
      <xdr:row>18</xdr:row>
      <xdr:rowOff>637200</xdr:rowOff>
    </xdr:to>
    <xdr:pic>
      <xdr:nvPicPr>
        <xdr:cNvPr id="47" name="Picture 46" descr="Druid Icon">
          <a:extLst>
            <a:ext uri="{FF2B5EF4-FFF2-40B4-BE49-F238E27FC236}">
              <a16:creationId xmlns:a16="http://schemas.microsoft.com/office/drawing/2014/main" id="{B41D6454-4A18-452E-9FCA-F5FBDC4E1C4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00151" y="10553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18</xdr:row>
      <xdr:rowOff>0</xdr:rowOff>
    </xdr:from>
    <xdr:to>
      <xdr:col>2</xdr:col>
      <xdr:colOff>749648</xdr:colOff>
      <xdr:row>18</xdr:row>
      <xdr:rowOff>637200</xdr:rowOff>
    </xdr:to>
    <xdr:pic>
      <xdr:nvPicPr>
        <xdr:cNvPr id="48" name="Picture 47" descr="Evolved Druid Icon">
          <a:extLst>
            <a:ext uri="{FF2B5EF4-FFF2-40B4-BE49-F238E27FC236}">
              <a16:creationId xmlns:a16="http://schemas.microsoft.com/office/drawing/2014/main" id="{63099DC2-D883-4414-B5F8-2F15E47E4BB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71676" y="10553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55</xdr:row>
      <xdr:rowOff>0</xdr:rowOff>
    </xdr:from>
    <xdr:to>
      <xdr:col>1</xdr:col>
      <xdr:colOff>749648</xdr:colOff>
      <xdr:row>55</xdr:row>
      <xdr:rowOff>637200</xdr:rowOff>
    </xdr:to>
    <xdr:pic>
      <xdr:nvPicPr>
        <xdr:cNvPr id="49" name="Picture 48" descr="Thunder God Icon">
          <a:extLst>
            <a:ext uri="{FF2B5EF4-FFF2-40B4-BE49-F238E27FC236}">
              <a16:creationId xmlns:a16="http://schemas.microsoft.com/office/drawing/2014/main" id="{303837A1-5C7E-44C7-B8F0-F1B787083CF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00151" y="34518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55</xdr:row>
      <xdr:rowOff>0</xdr:rowOff>
    </xdr:from>
    <xdr:to>
      <xdr:col>2</xdr:col>
      <xdr:colOff>749648</xdr:colOff>
      <xdr:row>55</xdr:row>
      <xdr:rowOff>637200</xdr:rowOff>
    </xdr:to>
    <xdr:pic>
      <xdr:nvPicPr>
        <xdr:cNvPr id="50" name="Picture 49" descr="Evolved Thunder God Icon">
          <a:extLst>
            <a:ext uri="{FF2B5EF4-FFF2-40B4-BE49-F238E27FC236}">
              <a16:creationId xmlns:a16="http://schemas.microsoft.com/office/drawing/2014/main" id="{05A6408F-99CA-458D-B865-6AF31CB1D0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71676" y="34518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45</xdr:row>
      <xdr:rowOff>0</xdr:rowOff>
    </xdr:from>
    <xdr:to>
      <xdr:col>1</xdr:col>
      <xdr:colOff>749648</xdr:colOff>
      <xdr:row>45</xdr:row>
      <xdr:rowOff>637200</xdr:rowOff>
    </xdr:to>
    <xdr:pic>
      <xdr:nvPicPr>
        <xdr:cNvPr id="51" name="Picture 50" descr="Pumpkin Duke Icon">
          <a:extLst>
            <a:ext uri="{FF2B5EF4-FFF2-40B4-BE49-F238E27FC236}">
              <a16:creationId xmlns:a16="http://schemas.microsoft.com/office/drawing/2014/main" id="{FA3EA007-C1E5-483A-8C2A-5FBF59AB2C9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00151" y="28041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45</xdr:row>
      <xdr:rowOff>0</xdr:rowOff>
    </xdr:from>
    <xdr:to>
      <xdr:col>2</xdr:col>
      <xdr:colOff>749648</xdr:colOff>
      <xdr:row>45</xdr:row>
      <xdr:rowOff>637200</xdr:rowOff>
    </xdr:to>
    <xdr:pic>
      <xdr:nvPicPr>
        <xdr:cNvPr id="52" name="Picture 51" descr="Evolved Pumpkin Duke Icon">
          <a:extLst>
            <a:ext uri="{FF2B5EF4-FFF2-40B4-BE49-F238E27FC236}">
              <a16:creationId xmlns:a16="http://schemas.microsoft.com/office/drawing/2014/main" id="{33C5E01F-BB76-4C75-903D-A78EAF31E2E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71676" y="28041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37</xdr:row>
      <xdr:rowOff>0</xdr:rowOff>
    </xdr:from>
    <xdr:to>
      <xdr:col>1</xdr:col>
      <xdr:colOff>749648</xdr:colOff>
      <xdr:row>37</xdr:row>
      <xdr:rowOff>637200</xdr:rowOff>
    </xdr:to>
    <xdr:pic>
      <xdr:nvPicPr>
        <xdr:cNvPr id="53" name="Picture 52" descr="Minotaur Chieftain Icon">
          <a:extLst>
            <a:ext uri="{FF2B5EF4-FFF2-40B4-BE49-F238E27FC236}">
              <a16:creationId xmlns:a16="http://schemas.microsoft.com/office/drawing/2014/main" id="{F63F5B73-36BC-4FC1-A55F-0CEABEBA8C1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00151" y="22860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37</xdr:row>
      <xdr:rowOff>0</xdr:rowOff>
    </xdr:from>
    <xdr:to>
      <xdr:col>2</xdr:col>
      <xdr:colOff>749648</xdr:colOff>
      <xdr:row>37</xdr:row>
      <xdr:rowOff>637200</xdr:rowOff>
    </xdr:to>
    <xdr:pic>
      <xdr:nvPicPr>
        <xdr:cNvPr id="54" name="Picture 53" descr="Evolved Minotaur Chieftain Icon">
          <a:extLst>
            <a:ext uri="{FF2B5EF4-FFF2-40B4-BE49-F238E27FC236}">
              <a16:creationId xmlns:a16="http://schemas.microsoft.com/office/drawing/2014/main" id="{3AE9C9A6-5969-4A0D-B3FB-6144FA2500A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71676" y="22860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25</xdr:row>
      <xdr:rowOff>0</xdr:rowOff>
    </xdr:from>
    <xdr:to>
      <xdr:col>1</xdr:col>
      <xdr:colOff>749648</xdr:colOff>
      <xdr:row>25</xdr:row>
      <xdr:rowOff>637200</xdr:rowOff>
    </xdr:to>
    <xdr:pic>
      <xdr:nvPicPr>
        <xdr:cNvPr id="55" name="Picture 54" descr="Grizzly Reaper Icon">
          <a:extLst>
            <a:ext uri="{FF2B5EF4-FFF2-40B4-BE49-F238E27FC236}">
              <a16:creationId xmlns:a16="http://schemas.microsoft.com/office/drawing/2014/main" id="{EF317DC3-A1FA-424F-8CFA-8A90725267A4}"/>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00151" y="15087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25</xdr:row>
      <xdr:rowOff>0</xdr:rowOff>
    </xdr:from>
    <xdr:to>
      <xdr:col>2</xdr:col>
      <xdr:colOff>749648</xdr:colOff>
      <xdr:row>25</xdr:row>
      <xdr:rowOff>637200</xdr:rowOff>
    </xdr:to>
    <xdr:pic>
      <xdr:nvPicPr>
        <xdr:cNvPr id="56" name="Picture 55" descr="Evolved Grizzly Reaper Icon">
          <a:extLst>
            <a:ext uri="{FF2B5EF4-FFF2-40B4-BE49-F238E27FC236}">
              <a16:creationId xmlns:a16="http://schemas.microsoft.com/office/drawing/2014/main" id="{D1FB4B22-3BD2-4ACA-9EA6-BB7E2472FEF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71676" y="15087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xdr:row>
      <xdr:rowOff>0</xdr:rowOff>
    </xdr:from>
    <xdr:to>
      <xdr:col>1</xdr:col>
      <xdr:colOff>749648</xdr:colOff>
      <xdr:row>7</xdr:row>
      <xdr:rowOff>637200</xdr:rowOff>
    </xdr:to>
    <xdr:pic>
      <xdr:nvPicPr>
        <xdr:cNvPr id="57" name="Picture 56" descr="Atlanticore Icon">
          <a:extLst>
            <a:ext uri="{FF2B5EF4-FFF2-40B4-BE49-F238E27FC236}">
              <a16:creationId xmlns:a16="http://schemas.microsoft.com/office/drawing/2014/main" id="{B5D73440-4B2D-49F4-92A3-BA90B21B822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00151" y="3429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7</xdr:row>
      <xdr:rowOff>0</xdr:rowOff>
    </xdr:from>
    <xdr:to>
      <xdr:col>2</xdr:col>
      <xdr:colOff>749648</xdr:colOff>
      <xdr:row>7</xdr:row>
      <xdr:rowOff>637200</xdr:rowOff>
    </xdr:to>
    <xdr:pic>
      <xdr:nvPicPr>
        <xdr:cNvPr id="58" name="Picture 57" descr="Evolved Atlanticore Icon">
          <a:extLst>
            <a:ext uri="{FF2B5EF4-FFF2-40B4-BE49-F238E27FC236}">
              <a16:creationId xmlns:a16="http://schemas.microsoft.com/office/drawing/2014/main" id="{680693B4-D2ED-4028-8260-9282624433D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71676" y="3429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52</xdr:row>
      <xdr:rowOff>0</xdr:rowOff>
    </xdr:from>
    <xdr:to>
      <xdr:col>1</xdr:col>
      <xdr:colOff>749648</xdr:colOff>
      <xdr:row>52</xdr:row>
      <xdr:rowOff>637200</xdr:rowOff>
    </xdr:to>
    <xdr:pic>
      <xdr:nvPicPr>
        <xdr:cNvPr id="59" name="Picture 58" descr="Snowzilla Icon">
          <a:extLst>
            <a:ext uri="{FF2B5EF4-FFF2-40B4-BE49-F238E27FC236}">
              <a16:creationId xmlns:a16="http://schemas.microsoft.com/office/drawing/2014/main" id="{68A6EB08-F98A-49B2-A2D3-65938C936E8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00151" y="32575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52</xdr:row>
      <xdr:rowOff>0</xdr:rowOff>
    </xdr:from>
    <xdr:to>
      <xdr:col>2</xdr:col>
      <xdr:colOff>749648</xdr:colOff>
      <xdr:row>52</xdr:row>
      <xdr:rowOff>637200</xdr:rowOff>
    </xdr:to>
    <xdr:pic>
      <xdr:nvPicPr>
        <xdr:cNvPr id="60" name="Picture 59" descr="Evolved Snowzilla Icon">
          <a:extLst>
            <a:ext uri="{FF2B5EF4-FFF2-40B4-BE49-F238E27FC236}">
              <a16:creationId xmlns:a16="http://schemas.microsoft.com/office/drawing/2014/main" id="{D20CA2E5-6C86-406A-92DD-0B77BE48FE8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71676" y="32575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11</xdr:row>
      <xdr:rowOff>0</xdr:rowOff>
    </xdr:from>
    <xdr:to>
      <xdr:col>1</xdr:col>
      <xdr:colOff>749648</xdr:colOff>
      <xdr:row>11</xdr:row>
      <xdr:rowOff>637200</xdr:rowOff>
    </xdr:to>
    <xdr:pic>
      <xdr:nvPicPr>
        <xdr:cNvPr id="61" name="Picture 60" descr="Cupid Icon">
          <a:extLst>
            <a:ext uri="{FF2B5EF4-FFF2-40B4-BE49-F238E27FC236}">
              <a16:creationId xmlns:a16="http://schemas.microsoft.com/office/drawing/2014/main" id="{22F5DE3E-F7A4-4F96-BF87-D2A5F3170DD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00151" y="6019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11</xdr:row>
      <xdr:rowOff>0</xdr:rowOff>
    </xdr:from>
    <xdr:to>
      <xdr:col>2</xdr:col>
      <xdr:colOff>749648</xdr:colOff>
      <xdr:row>11</xdr:row>
      <xdr:rowOff>637200</xdr:rowOff>
    </xdr:to>
    <xdr:pic>
      <xdr:nvPicPr>
        <xdr:cNvPr id="62" name="Picture 61" descr="Evolved Cupid Icon">
          <a:extLst>
            <a:ext uri="{FF2B5EF4-FFF2-40B4-BE49-F238E27FC236}">
              <a16:creationId xmlns:a16="http://schemas.microsoft.com/office/drawing/2014/main" id="{76E61BB8-7A5F-4B8E-8D10-392E04D7329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71676" y="6019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xdr:row>
      <xdr:rowOff>0</xdr:rowOff>
    </xdr:from>
    <xdr:to>
      <xdr:col>2</xdr:col>
      <xdr:colOff>5549</xdr:colOff>
      <xdr:row>30</xdr:row>
      <xdr:rowOff>637200</xdr:rowOff>
    </xdr:to>
    <xdr:pic>
      <xdr:nvPicPr>
        <xdr:cNvPr id="63" name="Picture 62" descr="Immortep Icon">
          <a:extLst>
            <a:ext uri="{FF2B5EF4-FFF2-40B4-BE49-F238E27FC236}">
              <a16:creationId xmlns:a16="http://schemas.microsoft.com/office/drawing/2014/main" id="{303D0C30-04D6-4564-A1B3-03B49437064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00151" y="18326100"/>
          <a:ext cx="777073"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30</xdr:row>
      <xdr:rowOff>0</xdr:rowOff>
    </xdr:from>
    <xdr:to>
      <xdr:col>2</xdr:col>
      <xdr:colOff>749648</xdr:colOff>
      <xdr:row>30</xdr:row>
      <xdr:rowOff>637200</xdr:rowOff>
    </xdr:to>
    <xdr:pic>
      <xdr:nvPicPr>
        <xdr:cNvPr id="64" name="Picture 63" descr="Evolved Immortep Icon">
          <a:extLst>
            <a:ext uri="{FF2B5EF4-FFF2-40B4-BE49-F238E27FC236}">
              <a16:creationId xmlns:a16="http://schemas.microsoft.com/office/drawing/2014/main" id="{A1B5DDE9-BC9A-4A6F-A6B2-C4249C16206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71676" y="18326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38</xdr:row>
      <xdr:rowOff>0</xdr:rowOff>
    </xdr:from>
    <xdr:to>
      <xdr:col>1</xdr:col>
      <xdr:colOff>749648</xdr:colOff>
      <xdr:row>38</xdr:row>
      <xdr:rowOff>637200</xdr:rowOff>
    </xdr:to>
    <xdr:pic>
      <xdr:nvPicPr>
        <xdr:cNvPr id="65" name="Picture 64" descr="Moltanica Icon">
          <a:extLst>
            <a:ext uri="{FF2B5EF4-FFF2-40B4-BE49-F238E27FC236}">
              <a16:creationId xmlns:a16="http://schemas.microsoft.com/office/drawing/2014/main" id="{64445A58-9502-4792-81A7-D14455EAD84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00151" y="23507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38</xdr:row>
      <xdr:rowOff>0</xdr:rowOff>
    </xdr:from>
    <xdr:to>
      <xdr:col>2</xdr:col>
      <xdr:colOff>749648</xdr:colOff>
      <xdr:row>38</xdr:row>
      <xdr:rowOff>637200</xdr:rowOff>
    </xdr:to>
    <xdr:pic>
      <xdr:nvPicPr>
        <xdr:cNvPr id="66" name="Picture 65" descr="Evolved Moltanica Icon">
          <a:extLst>
            <a:ext uri="{FF2B5EF4-FFF2-40B4-BE49-F238E27FC236}">
              <a16:creationId xmlns:a16="http://schemas.microsoft.com/office/drawing/2014/main" id="{A5565131-5630-4039-8556-17CEBB645268}"/>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71676" y="23507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xdr:row>
      <xdr:rowOff>0</xdr:rowOff>
    </xdr:from>
    <xdr:to>
      <xdr:col>1</xdr:col>
      <xdr:colOff>749648</xdr:colOff>
      <xdr:row>5</xdr:row>
      <xdr:rowOff>637200</xdr:rowOff>
    </xdr:to>
    <xdr:pic>
      <xdr:nvPicPr>
        <xdr:cNvPr id="67" name="Picture 66" descr="Aries Icon">
          <a:extLst>
            <a:ext uri="{FF2B5EF4-FFF2-40B4-BE49-F238E27FC236}">
              <a16:creationId xmlns:a16="http://schemas.microsoft.com/office/drawing/2014/main" id="{04FD071B-68F9-46B4-BD99-47DA8D87916F}"/>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00151" y="2133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xdr:row>
      <xdr:rowOff>0</xdr:rowOff>
    </xdr:from>
    <xdr:to>
      <xdr:col>2</xdr:col>
      <xdr:colOff>749648</xdr:colOff>
      <xdr:row>5</xdr:row>
      <xdr:rowOff>637200</xdr:rowOff>
    </xdr:to>
    <xdr:pic>
      <xdr:nvPicPr>
        <xdr:cNvPr id="68" name="Picture 67" descr="Evolved Aries Icon">
          <a:extLst>
            <a:ext uri="{FF2B5EF4-FFF2-40B4-BE49-F238E27FC236}">
              <a16:creationId xmlns:a16="http://schemas.microsoft.com/office/drawing/2014/main" id="{F372990B-D46B-486F-A159-D50948D5487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71676" y="2133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60</xdr:row>
      <xdr:rowOff>0</xdr:rowOff>
    </xdr:from>
    <xdr:to>
      <xdr:col>1</xdr:col>
      <xdr:colOff>749648</xdr:colOff>
      <xdr:row>60</xdr:row>
      <xdr:rowOff>637200</xdr:rowOff>
    </xdr:to>
    <xdr:pic>
      <xdr:nvPicPr>
        <xdr:cNvPr id="69" name="Picture 68" descr="Vlad Dracula Icon">
          <a:extLst>
            <a:ext uri="{FF2B5EF4-FFF2-40B4-BE49-F238E27FC236}">
              <a16:creationId xmlns:a16="http://schemas.microsoft.com/office/drawing/2014/main" id="{B1A56CE7-32E7-41F9-A16A-C6D22BAA8186}"/>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00151" y="37757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60</xdr:row>
      <xdr:rowOff>0</xdr:rowOff>
    </xdr:from>
    <xdr:to>
      <xdr:col>2</xdr:col>
      <xdr:colOff>749648</xdr:colOff>
      <xdr:row>60</xdr:row>
      <xdr:rowOff>637200</xdr:rowOff>
    </xdr:to>
    <xdr:pic>
      <xdr:nvPicPr>
        <xdr:cNvPr id="70" name="Picture 69" descr="Evolved Vlad Dracula Icon">
          <a:extLst>
            <a:ext uri="{FF2B5EF4-FFF2-40B4-BE49-F238E27FC236}">
              <a16:creationId xmlns:a16="http://schemas.microsoft.com/office/drawing/2014/main" id="{FF676A71-A758-42A3-8587-96C1B7A10A7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71676" y="37757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13</xdr:row>
      <xdr:rowOff>0</xdr:rowOff>
    </xdr:from>
    <xdr:to>
      <xdr:col>1</xdr:col>
      <xdr:colOff>749648</xdr:colOff>
      <xdr:row>13</xdr:row>
      <xdr:rowOff>637200</xdr:rowOff>
    </xdr:to>
    <xdr:pic>
      <xdr:nvPicPr>
        <xdr:cNvPr id="71" name="Picture 70" descr="Death Knight Icon">
          <a:extLst>
            <a:ext uri="{FF2B5EF4-FFF2-40B4-BE49-F238E27FC236}">
              <a16:creationId xmlns:a16="http://schemas.microsoft.com/office/drawing/2014/main" id="{D2ED9396-DF76-482D-9042-AD980280F28A}"/>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00151" y="7315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13</xdr:row>
      <xdr:rowOff>0</xdr:rowOff>
    </xdr:from>
    <xdr:to>
      <xdr:col>2</xdr:col>
      <xdr:colOff>749648</xdr:colOff>
      <xdr:row>13</xdr:row>
      <xdr:rowOff>637200</xdr:rowOff>
    </xdr:to>
    <xdr:pic>
      <xdr:nvPicPr>
        <xdr:cNvPr id="72" name="Picture 71" descr="Evolved Death Knight Icon">
          <a:extLst>
            <a:ext uri="{FF2B5EF4-FFF2-40B4-BE49-F238E27FC236}">
              <a16:creationId xmlns:a16="http://schemas.microsoft.com/office/drawing/2014/main" id="{C36FBA0B-7204-4926-B8D5-2024C412C76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71676" y="7315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40</xdr:row>
      <xdr:rowOff>0</xdr:rowOff>
    </xdr:from>
    <xdr:to>
      <xdr:col>1</xdr:col>
      <xdr:colOff>749648</xdr:colOff>
      <xdr:row>40</xdr:row>
      <xdr:rowOff>637200</xdr:rowOff>
    </xdr:to>
    <xdr:pic>
      <xdr:nvPicPr>
        <xdr:cNvPr id="73" name="Picture 72" descr="Orksbane Icon">
          <a:extLst>
            <a:ext uri="{FF2B5EF4-FFF2-40B4-BE49-F238E27FC236}">
              <a16:creationId xmlns:a16="http://schemas.microsoft.com/office/drawing/2014/main" id="{32A2F665-F310-4892-BBE7-7FC1821E317C}"/>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00151" y="24803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40</xdr:row>
      <xdr:rowOff>0</xdr:rowOff>
    </xdr:from>
    <xdr:to>
      <xdr:col>2</xdr:col>
      <xdr:colOff>749648</xdr:colOff>
      <xdr:row>40</xdr:row>
      <xdr:rowOff>637200</xdr:rowOff>
    </xdr:to>
    <xdr:pic>
      <xdr:nvPicPr>
        <xdr:cNvPr id="74" name="Picture 73" descr="Evolved Orksbane Icon">
          <a:extLst>
            <a:ext uri="{FF2B5EF4-FFF2-40B4-BE49-F238E27FC236}">
              <a16:creationId xmlns:a16="http://schemas.microsoft.com/office/drawing/2014/main" id="{A7FB19FE-7EE5-4BFC-B775-89C912515F5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71676" y="24803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47</xdr:row>
      <xdr:rowOff>0</xdr:rowOff>
    </xdr:from>
    <xdr:to>
      <xdr:col>1</xdr:col>
      <xdr:colOff>749648</xdr:colOff>
      <xdr:row>47</xdr:row>
      <xdr:rowOff>637200</xdr:rowOff>
    </xdr:to>
    <xdr:pic>
      <xdr:nvPicPr>
        <xdr:cNvPr id="75" name="Picture 74" descr="Santa Boom Icon">
          <a:extLst>
            <a:ext uri="{FF2B5EF4-FFF2-40B4-BE49-F238E27FC236}">
              <a16:creationId xmlns:a16="http://schemas.microsoft.com/office/drawing/2014/main" id="{63ADD790-8D38-4257-967B-805017F68E2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00151" y="29337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47</xdr:row>
      <xdr:rowOff>0</xdr:rowOff>
    </xdr:from>
    <xdr:to>
      <xdr:col>2</xdr:col>
      <xdr:colOff>749648</xdr:colOff>
      <xdr:row>47</xdr:row>
      <xdr:rowOff>637200</xdr:rowOff>
    </xdr:to>
    <xdr:pic>
      <xdr:nvPicPr>
        <xdr:cNvPr id="76" name="Picture 75" descr="Evolved Santa Boom Icon">
          <a:extLst>
            <a:ext uri="{FF2B5EF4-FFF2-40B4-BE49-F238E27FC236}">
              <a16:creationId xmlns:a16="http://schemas.microsoft.com/office/drawing/2014/main" id="{F4E8ABB8-CB5C-4D88-AE0A-7AB3368048CE}"/>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71676" y="29337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44</xdr:row>
      <xdr:rowOff>0</xdr:rowOff>
    </xdr:from>
    <xdr:to>
      <xdr:col>1</xdr:col>
      <xdr:colOff>749648</xdr:colOff>
      <xdr:row>44</xdr:row>
      <xdr:rowOff>637200</xdr:rowOff>
    </xdr:to>
    <xdr:pic>
      <xdr:nvPicPr>
        <xdr:cNvPr id="77" name="Picture 76" descr="Pixie Icon">
          <a:extLst>
            <a:ext uri="{FF2B5EF4-FFF2-40B4-BE49-F238E27FC236}">
              <a16:creationId xmlns:a16="http://schemas.microsoft.com/office/drawing/2014/main" id="{E56DB075-619F-444F-A3E9-DCC0DB0CFBE1}"/>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00151" y="27393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44</xdr:row>
      <xdr:rowOff>0</xdr:rowOff>
    </xdr:from>
    <xdr:to>
      <xdr:col>2</xdr:col>
      <xdr:colOff>749648</xdr:colOff>
      <xdr:row>44</xdr:row>
      <xdr:rowOff>637200</xdr:rowOff>
    </xdr:to>
    <xdr:pic>
      <xdr:nvPicPr>
        <xdr:cNvPr id="78" name="Picture 77" descr="Evolved Pixie Icon">
          <a:extLst>
            <a:ext uri="{FF2B5EF4-FFF2-40B4-BE49-F238E27FC236}">
              <a16:creationId xmlns:a16="http://schemas.microsoft.com/office/drawing/2014/main" id="{F82F28E8-1784-4172-955E-1E76EDD7232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71676" y="27393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50</xdr:row>
      <xdr:rowOff>0</xdr:rowOff>
    </xdr:from>
    <xdr:to>
      <xdr:col>1</xdr:col>
      <xdr:colOff>749648</xdr:colOff>
      <xdr:row>50</xdr:row>
      <xdr:rowOff>637200</xdr:rowOff>
    </xdr:to>
    <xdr:pic>
      <xdr:nvPicPr>
        <xdr:cNvPr id="79" name="Picture 78" descr="Siren Icon">
          <a:extLst>
            <a:ext uri="{FF2B5EF4-FFF2-40B4-BE49-F238E27FC236}">
              <a16:creationId xmlns:a16="http://schemas.microsoft.com/office/drawing/2014/main" id="{8B3449B0-DE13-4F9C-804F-708906253D45}"/>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200151" y="31280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50</xdr:row>
      <xdr:rowOff>0</xdr:rowOff>
    </xdr:from>
    <xdr:to>
      <xdr:col>2</xdr:col>
      <xdr:colOff>749648</xdr:colOff>
      <xdr:row>50</xdr:row>
      <xdr:rowOff>637200</xdr:rowOff>
    </xdr:to>
    <xdr:pic>
      <xdr:nvPicPr>
        <xdr:cNvPr id="80" name="Picture 79" descr="Evolved Siren Icon">
          <a:extLst>
            <a:ext uri="{FF2B5EF4-FFF2-40B4-BE49-F238E27FC236}">
              <a16:creationId xmlns:a16="http://schemas.microsoft.com/office/drawing/2014/main" id="{B0D6AFA8-F9E5-4B74-9CC3-E7311101CC24}"/>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71676" y="31280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15</xdr:row>
      <xdr:rowOff>0</xdr:rowOff>
    </xdr:from>
    <xdr:to>
      <xdr:col>1</xdr:col>
      <xdr:colOff>749648</xdr:colOff>
      <xdr:row>15</xdr:row>
      <xdr:rowOff>637200</xdr:rowOff>
    </xdr:to>
    <xdr:pic>
      <xdr:nvPicPr>
        <xdr:cNvPr id="81" name="Picture 80" descr="Destroyer Icon">
          <a:extLst>
            <a:ext uri="{FF2B5EF4-FFF2-40B4-BE49-F238E27FC236}">
              <a16:creationId xmlns:a16="http://schemas.microsoft.com/office/drawing/2014/main" id="{1F2B63EE-4CE1-45C2-8B28-9746C1FDDD25}"/>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200151" y="8610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15</xdr:row>
      <xdr:rowOff>0</xdr:rowOff>
    </xdr:from>
    <xdr:to>
      <xdr:col>2</xdr:col>
      <xdr:colOff>749648</xdr:colOff>
      <xdr:row>15</xdr:row>
      <xdr:rowOff>637200</xdr:rowOff>
    </xdr:to>
    <xdr:pic>
      <xdr:nvPicPr>
        <xdr:cNvPr id="82" name="Picture 81" descr="Evolved Destroyer Icon">
          <a:extLst>
            <a:ext uri="{FF2B5EF4-FFF2-40B4-BE49-F238E27FC236}">
              <a16:creationId xmlns:a16="http://schemas.microsoft.com/office/drawing/2014/main" id="{007FA8B7-0DE1-4E86-BC1A-FD0774EE094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71676" y="8610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61</xdr:row>
      <xdr:rowOff>0</xdr:rowOff>
    </xdr:from>
    <xdr:to>
      <xdr:col>1</xdr:col>
      <xdr:colOff>749648</xdr:colOff>
      <xdr:row>61</xdr:row>
      <xdr:rowOff>637200</xdr:rowOff>
    </xdr:to>
    <xdr:pic>
      <xdr:nvPicPr>
        <xdr:cNvPr id="83" name="Picture 82" descr="Warlock Icon">
          <a:extLst>
            <a:ext uri="{FF2B5EF4-FFF2-40B4-BE49-F238E27FC236}">
              <a16:creationId xmlns:a16="http://schemas.microsoft.com/office/drawing/2014/main" id="{D2D4A1E0-6E87-44B7-817E-17494C07B87C}"/>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200151" y="38404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61</xdr:row>
      <xdr:rowOff>0</xdr:rowOff>
    </xdr:from>
    <xdr:to>
      <xdr:col>2</xdr:col>
      <xdr:colOff>749648</xdr:colOff>
      <xdr:row>61</xdr:row>
      <xdr:rowOff>637200</xdr:rowOff>
    </xdr:to>
    <xdr:pic>
      <xdr:nvPicPr>
        <xdr:cNvPr id="84" name="Picture 83" descr="Evolved Warlock Icon">
          <a:extLst>
            <a:ext uri="{FF2B5EF4-FFF2-40B4-BE49-F238E27FC236}">
              <a16:creationId xmlns:a16="http://schemas.microsoft.com/office/drawing/2014/main" id="{B547B25D-587F-4DD6-AAC6-DCD59D5003E6}"/>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71676" y="38404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56</xdr:row>
      <xdr:rowOff>0</xdr:rowOff>
    </xdr:from>
    <xdr:to>
      <xdr:col>1</xdr:col>
      <xdr:colOff>749648</xdr:colOff>
      <xdr:row>56</xdr:row>
      <xdr:rowOff>637200</xdr:rowOff>
    </xdr:to>
    <xdr:pic>
      <xdr:nvPicPr>
        <xdr:cNvPr id="85" name="Picture 84" descr="Treantaur Icon">
          <a:extLst>
            <a:ext uri="{FF2B5EF4-FFF2-40B4-BE49-F238E27FC236}">
              <a16:creationId xmlns:a16="http://schemas.microsoft.com/office/drawing/2014/main" id="{D4078CDE-C504-4F98-9F13-5BA5A190BF73}"/>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200151" y="35166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56</xdr:row>
      <xdr:rowOff>0</xdr:rowOff>
    </xdr:from>
    <xdr:to>
      <xdr:col>2</xdr:col>
      <xdr:colOff>749648</xdr:colOff>
      <xdr:row>56</xdr:row>
      <xdr:rowOff>637200</xdr:rowOff>
    </xdr:to>
    <xdr:pic>
      <xdr:nvPicPr>
        <xdr:cNvPr id="86" name="Picture 85" descr="Evolved Treantaur Icon">
          <a:extLst>
            <a:ext uri="{FF2B5EF4-FFF2-40B4-BE49-F238E27FC236}">
              <a16:creationId xmlns:a16="http://schemas.microsoft.com/office/drawing/2014/main" id="{48B3C33B-2D5C-4C55-A0B1-F08C2577977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71676" y="35166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xdr:row>
      <xdr:rowOff>0</xdr:rowOff>
    </xdr:from>
    <xdr:to>
      <xdr:col>1</xdr:col>
      <xdr:colOff>749648</xdr:colOff>
      <xdr:row>26</xdr:row>
      <xdr:rowOff>637200</xdr:rowOff>
    </xdr:to>
    <xdr:pic>
      <xdr:nvPicPr>
        <xdr:cNvPr id="87" name="Picture 86" descr="Harpy Queen Icon">
          <a:extLst>
            <a:ext uri="{FF2B5EF4-FFF2-40B4-BE49-F238E27FC236}">
              <a16:creationId xmlns:a16="http://schemas.microsoft.com/office/drawing/2014/main" id="{B9E8060E-8CB6-4630-8FD1-7DE330724A47}"/>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200151" y="15735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26</xdr:row>
      <xdr:rowOff>0</xdr:rowOff>
    </xdr:from>
    <xdr:to>
      <xdr:col>2</xdr:col>
      <xdr:colOff>749648</xdr:colOff>
      <xdr:row>26</xdr:row>
      <xdr:rowOff>637200</xdr:rowOff>
    </xdr:to>
    <xdr:pic>
      <xdr:nvPicPr>
        <xdr:cNvPr id="88" name="Picture 87" descr="Evolved Harpy Queen Icon">
          <a:extLst>
            <a:ext uri="{FF2B5EF4-FFF2-40B4-BE49-F238E27FC236}">
              <a16:creationId xmlns:a16="http://schemas.microsoft.com/office/drawing/2014/main" id="{F917802B-DEE9-4DF6-89FB-2A78F5653919}"/>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71676" y="15735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51</xdr:row>
      <xdr:rowOff>0</xdr:rowOff>
    </xdr:from>
    <xdr:to>
      <xdr:col>1</xdr:col>
      <xdr:colOff>749648</xdr:colOff>
      <xdr:row>51</xdr:row>
      <xdr:rowOff>637200</xdr:rowOff>
    </xdr:to>
    <xdr:pic>
      <xdr:nvPicPr>
        <xdr:cNvPr id="89" name="Picture 88" descr="Skull Knight Icon">
          <a:extLst>
            <a:ext uri="{FF2B5EF4-FFF2-40B4-BE49-F238E27FC236}">
              <a16:creationId xmlns:a16="http://schemas.microsoft.com/office/drawing/2014/main" id="{C0232DE1-FB14-4875-AA39-9F1A22664BEB}"/>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200151" y="31927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51</xdr:row>
      <xdr:rowOff>0</xdr:rowOff>
    </xdr:from>
    <xdr:to>
      <xdr:col>2</xdr:col>
      <xdr:colOff>749648</xdr:colOff>
      <xdr:row>51</xdr:row>
      <xdr:rowOff>637200</xdr:rowOff>
    </xdr:to>
    <xdr:pic>
      <xdr:nvPicPr>
        <xdr:cNvPr id="90" name="Picture 89" descr="Evolved Skull Knight Icon">
          <a:extLst>
            <a:ext uri="{FF2B5EF4-FFF2-40B4-BE49-F238E27FC236}">
              <a16:creationId xmlns:a16="http://schemas.microsoft.com/office/drawing/2014/main" id="{747B1009-432F-49B0-8FE6-842CB9DE6271}"/>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71676" y="31927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xdr:row>
      <xdr:rowOff>0</xdr:rowOff>
    </xdr:from>
    <xdr:to>
      <xdr:col>1</xdr:col>
      <xdr:colOff>749648</xdr:colOff>
      <xdr:row>17</xdr:row>
      <xdr:rowOff>637200</xdr:rowOff>
    </xdr:to>
    <xdr:pic>
      <xdr:nvPicPr>
        <xdr:cNvPr id="91" name="Picture 90" descr="Dread Drake Icon">
          <a:extLst>
            <a:ext uri="{FF2B5EF4-FFF2-40B4-BE49-F238E27FC236}">
              <a16:creationId xmlns:a16="http://schemas.microsoft.com/office/drawing/2014/main" id="{AFF43900-8710-4AA4-B0B1-6BCA66AFD23F}"/>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200151" y="9906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17</xdr:row>
      <xdr:rowOff>0</xdr:rowOff>
    </xdr:from>
    <xdr:to>
      <xdr:col>2</xdr:col>
      <xdr:colOff>749648</xdr:colOff>
      <xdr:row>17</xdr:row>
      <xdr:rowOff>637200</xdr:rowOff>
    </xdr:to>
    <xdr:pic>
      <xdr:nvPicPr>
        <xdr:cNvPr id="92" name="Picture 91" descr="Evolved Dread Drake Icon">
          <a:extLst>
            <a:ext uri="{FF2B5EF4-FFF2-40B4-BE49-F238E27FC236}">
              <a16:creationId xmlns:a16="http://schemas.microsoft.com/office/drawing/2014/main" id="{1FC6C7ED-F3AA-404B-873E-4C63432FF96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71676" y="9906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23</xdr:row>
      <xdr:rowOff>0</xdr:rowOff>
    </xdr:from>
    <xdr:to>
      <xdr:col>1</xdr:col>
      <xdr:colOff>749648</xdr:colOff>
      <xdr:row>23</xdr:row>
      <xdr:rowOff>637200</xdr:rowOff>
    </xdr:to>
    <xdr:pic>
      <xdr:nvPicPr>
        <xdr:cNvPr id="93" name="Picture 92" descr="Ghoulem Icon">
          <a:extLst>
            <a:ext uri="{FF2B5EF4-FFF2-40B4-BE49-F238E27FC236}">
              <a16:creationId xmlns:a16="http://schemas.microsoft.com/office/drawing/2014/main" id="{894576CA-D909-42E9-B31A-81A0ED9E0CF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200151" y="13792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23</xdr:row>
      <xdr:rowOff>0</xdr:rowOff>
    </xdr:from>
    <xdr:to>
      <xdr:col>2</xdr:col>
      <xdr:colOff>749648</xdr:colOff>
      <xdr:row>23</xdr:row>
      <xdr:rowOff>637200</xdr:rowOff>
    </xdr:to>
    <xdr:pic>
      <xdr:nvPicPr>
        <xdr:cNvPr id="94" name="Picture 93" descr="Evolved Ghoulem Icon">
          <a:extLst>
            <a:ext uri="{FF2B5EF4-FFF2-40B4-BE49-F238E27FC236}">
              <a16:creationId xmlns:a16="http://schemas.microsoft.com/office/drawing/2014/main" id="{03A689E1-F822-41D5-917C-DBB248BFA5EC}"/>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71676" y="13792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9</xdr:row>
      <xdr:rowOff>0</xdr:rowOff>
    </xdr:from>
    <xdr:to>
      <xdr:col>1</xdr:col>
      <xdr:colOff>749648</xdr:colOff>
      <xdr:row>9</xdr:row>
      <xdr:rowOff>637200</xdr:rowOff>
    </xdr:to>
    <xdr:pic>
      <xdr:nvPicPr>
        <xdr:cNvPr id="95" name="Picture 94" descr="Candy Kane Icon">
          <a:extLst>
            <a:ext uri="{FF2B5EF4-FFF2-40B4-BE49-F238E27FC236}">
              <a16:creationId xmlns:a16="http://schemas.microsoft.com/office/drawing/2014/main" id="{83A339D9-200D-4DB1-BC2E-38E3B35B020F}"/>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200151" y="4724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9</xdr:row>
      <xdr:rowOff>0</xdr:rowOff>
    </xdr:from>
    <xdr:to>
      <xdr:col>2</xdr:col>
      <xdr:colOff>749648</xdr:colOff>
      <xdr:row>9</xdr:row>
      <xdr:rowOff>637200</xdr:rowOff>
    </xdr:to>
    <xdr:pic>
      <xdr:nvPicPr>
        <xdr:cNvPr id="96" name="Picture 95" descr="Evolved Candy Kane Icon">
          <a:extLst>
            <a:ext uri="{FF2B5EF4-FFF2-40B4-BE49-F238E27FC236}">
              <a16:creationId xmlns:a16="http://schemas.microsoft.com/office/drawing/2014/main" id="{26827496-900D-48FA-A081-AC37DE781192}"/>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71676" y="4724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59</xdr:row>
      <xdr:rowOff>0</xdr:rowOff>
    </xdr:from>
    <xdr:to>
      <xdr:col>1</xdr:col>
      <xdr:colOff>749648</xdr:colOff>
      <xdr:row>59</xdr:row>
      <xdr:rowOff>637200</xdr:rowOff>
    </xdr:to>
    <xdr:pic>
      <xdr:nvPicPr>
        <xdr:cNvPr id="97" name="Picture 96" descr="Valentina Icon">
          <a:extLst>
            <a:ext uri="{FF2B5EF4-FFF2-40B4-BE49-F238E27FC236}">
              <a16:creationId xmlns:a16="http://schemas.microsoft.com/office/drawing/2014/main" id="{BABEDF7D-2735-403D-A937-8B4D9E781B61}"/>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200151" y="37109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59</xdr:row>
      <xdr:rowOff>0</xdr:rowOff>
    </xdr:from>
    <xdr:to>
      <xdr:col>2</xdr:col>
      <xdr:colOff>749648</xdr:colOff>
      <xdr:row>59</xdr:row>
      <xdr:rowOff>637200</xdr:rowOff>
    </xdr:to>
    <xdr:pic>
      <xdr:nvPicPr>
        <xdr:cNvPr id="98" name="Picture 97" descr="Evolved Valentina Icon">
          <a:extLst>
            <a:ext uri="{FF2B5EF4-FFF2-40B4-BE49-F238E27FC236}">
              <a16:creationId xmlns:a16="http://schemas.microsoft.com/office/drawing/2014/main" id="{5B2B3AB3-3F90-4B50-A3AA-F3CE8954A198}"/>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71676" y="37109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43</xdr:row>
      <xdr:rowOff>0</xdr:rowOff>
    </xdr:from>
    <xdr:to>
      <xdr:col>1</xdr:col>
      <xdr:colOff>749648</xdr:colOff>
      <xdr:row>43</xdr:row>
      <xdr:rowOff>637200</xdr:rowOff>
    </xdr:to>
    <xdr:pic>
      <xdr:nvPicPr>
        <xdr:cNvPr id="99" name="Picture 98" descr="Phantom King Icon">
          <a:extLst>
            <a:ext uri="{FF2B5EF4-FFF2-40B4-BE49-F238E27FC236}">
              <a16:creationId xmlns:a16="http://schemas.microsoft.com/office/drawing/2014/main" id="{30FF3BCD-361A-4A57-AD76-44D2736B864F}"/>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200151" y="26746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43</xdr:row>
      <xdr:rowOff>0</xdr:rowOff>
    </xdr:from>
    <xdr:to>
      <xdr:col>2</xdr:col>
      <xdr:colOff>749648</xdr:colOff>
      <xdr:row>43</xdr:row>
      <xdr:rowOff>637200</xdr:rowOff>
    </xdr:to>
    <xdr:pic>
      <xdr:nvPicPr>
        <xdr:cNvPr id="100" name="Picture 99" descr="Evolved Phantom King Icon">
          <a:extLst>
            <a:ext uri="{FF2B5EF4-FFF2-40B4-BE49-F238E27FC236}">
              <a16:creationId xmlns:a16="http://schemas.microsoft.com/office/drawing/2014/main" id="{CCAFD38C-ED16-44D4-A168-738EBB40EB89}"/>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71676" y="26746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xdr:row>
      <xdr:rowOff>0</xdr:rowOff>
    </xdr:from>
    <xdr:to>
      <xdr:col>1</xdr:col>
      <xdr:colOff>749648</xdr:colOff>
      <xdr:row>8</xdr:row>
      <xdr:rowOff>637200</xdr:rowOff>
    </xdr:to>
    <xdr:pic>
      <xdr:nvPicPr>
        <xdr:cNvPr id="101" name="Picture 100" descr="Beast Tamer Icon">
          <a:extLst>
            <a:ext uri="{FF2B5EF4-FFF2-40B4-BE49-F238E27FC236}">
              <a16:creationId xmlns:a16="http://schemas.microsoft.com/office/drawing/2014/main" id="{60FE94E8-BB64-4166-A0BB-06C5A6A1C33F}"/>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200151" y="4076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8</xdr:row>
      <xdr:rowOff>0</xdr:rowOff>
    </xdr:from>
    <xdr:to>
      <xdr:col>2</xdr:col>
      <xdr:colOff>749648</xdr:colOff>
      <xdr:row>8</xdr:row>
      <xdr:rowOff>637200</xdr:rowOff>
    </xdr:to>
    <xdr:pic>
      <xdr:nvPicPr>
        <xdr:cNvPr id="102" name="Picture 101" descr="Evolved Beast Tamer Icon">
          <a:extLst>
            <a:ext uri="{FF2B5EF4-FFF2-40B4-BE49-F238E27FC236}">
              <a16:creationId xmlns:a16="http://schemas.microsoft.com/office/drawing/2014/main" id="{EEBEDF2A-91D8-4A61-9EFF-2B1E3DC0AA4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71676" y="4076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31</xdr:row>
      <xdr:rowOff>0</xdr:rowOff>
    </xdr:from>
    <xdr:to>
      <xdr:col>1</xdr:col>
      <xdr:colOff>749648</xdr:colOff>
      <xdr:row>31</xdr:row>
      <xdr:rowOff>637200</xdr:rowOff>
    </xdr:to>
    <xdr:pic>
      <xdr:nvPicPr>
        <xdr:cNvPr id="103" name="Picture 102" descr="Lady Leo Icon">
          <a:extLst>
            <a:ext uri="{FF2B5EF4-FFF2-40B4-BE49-F238E27FC236}">
              <a16:creationId xmlns:a16="http://schemas.microsoft.com/office/drawing/2014/main" id="{B5CF4E15-5C22-4562-97B0-FC79000E3627}"/>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200151" y="18973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31</xdr:row>
      <xdr:rowOff>0</xdr:rowOff>
    </xdr:from>
    <xdr:to>
      <xdr:col>2</xdr:col>
      <xdr:colOff>749648</xdr:colOff>
      <xdr:row>31</xdr:row>
      <xdr:rowOff>637200</xdr:rowOff>
    </xdr:to>
    <xdr:pic>
      <xdr:nvPicPr>
        <xdr:cNvPr id="104" name="Picture 103" descr="Evolved Lady Leo Icon">
          <a:extLst>
            <a:ext uri="{FF2B5EF4-FFF2-40B4-BE49-F238E27FC236}">
              <a16:creationId xmlns:a16="http://schemas.microsoft.com/office/drawing/2014/main" id="{4F22AE14-14E1-4C78-9772-0D4853BBDEC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71676" y="18973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24</xdr:row>
      <xdr:rowOff>0</xdr:rowOff>
    </xdr:from>
    <xdr:to>
      <xdr:col>1</xdr:col>
      <xdr:colOff>749648</xdr:colOff>
      <xdr:row>24</xdr:row>
      <xdr:rowOff>637200</xdr:rowOff>
    </xdr:to>
    <xdr:pic>
      <xdr:nvPicPr>
        <xdr:cNvPr id="105" name="Picture 104" descr="Grimfiend Icon">
          <a:extLst>
            <a:ext uri="{FF2B5EF4-FFF2-40B4-BE49-F238E27FC236}">
              <a16:creationId xmlns:a16="http://schemas.microsoft.com/office/drawing/2014/main" id="{D38C8F9A-B07C-471F-9B16-EED99E26C705}"/>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200151" y="14439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24</xdr:row>
      <xdr:rowOff>0</xdr:rowOff>
    </xdr:from>
    <xdr:to>
      <xdr:col>2</xdr:col>
      <xdr:colOff>749648</xdr:colOff>
      <xdr:row>24</xdr:row>
      <xdr:rowOff>637200</xdr:rowOff>
    </xdr:to>
    <xdr:pic>
      <xdr:nvPicPr>
        <xdr:cNvPr id="106" name="Picture 105" descr="Evolved Grimfiend Icon">
          <a:extLst>
            <a:ext uri="{FF2B5EF4-FFF2-40B4-BE49-F238E27FC236}">
              <a16:creationId xmlns:a16="http://schemas.microsoft.com/office/drawing/2014/main" id="{B28B0231-48A9-4D8C-BE64-1A874828D189}"/>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71676" y="14439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16</xdr:row>
      <xdr:rowOff>0</xdr:rowOff>
    </xdr:from>
    <xdr:to>
      <xdr:col>1</xdr:col>
      <xdr:colOff>749648</xdr:colOff>
      <xdr:row>16</xdr:row>
      <xdr:rowOff>637200</xdr:rowOff>
    </xdr:to>
    <xdr:pic>
      <xdr:nvPicPr>
        <xdr:cNvPr id="107" name="Picture 106" descr="Dracax Icon">
          <a:extLst>
            <a:ext uri="{FF2B5EF4-FFF2-40B4-BE49-F238E27FC236}">
              <a16:creationId xmlns:a16="http://schemas.microsoft.com/office/drawing/2014/main" id="{1555EC62-7B63-4A51-8626-15E8A85B8C39}"/>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200151" y="9258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16</xdr:row>
      <xdr:rowOff>0</xdr:rowOff>
    </xdr:from>
    <xdr:to>
      <xdr:col>2</xdr:col>
      <xdr:colOff>749648</xdr:colOff>
      <xdr:row>16</xdr:row>
      <xdr:rowOff>637200</xdr:rowOff>
    </xdr:to>
    <xdr:pic>
      <xdr:nvPicPr>
        <xdr:cNvPr id="108" name="Picture 107" descr="Evolved Dracax Icon">
          <a:extLst>
            <a:ext uri="{FF2B5EF4-FFF2-40B4-BE49-F238E27FC236}">
              <a16:creationId xmlns:a16="http://schemas.microsoft.com/office/drawing/2014/main" id="{9B09227F-8D94-447F-94E4-C1CF70FDFB9B}"/>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71676" y="9258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35</xdr:row>
      <xdr:rowOff>0</xdr:rowOff>
    </xdr:from>
    <xdr:to>
      <xdr:col>1</xdr:col>
      <xdr:colOff>749648</xdr:colOff>
      <xdr:row>35</xdr:row>
      <xdr:rowOff>637200</xdr:rowOff>
    </xdr:to>
    <xdr:pic>
      <xdr:nvPicPr>
        <xdr:cNvPr id="109" name="Picture 108" descr="Medusa Icon">
          <a:extLst>
            <a:ext uri="{FF2B5EF4-FFF2-40B4-BE49-F238E27FC236}">
              <a16:creationId xmlns:a16="http://schemas.microsoft.com/office/drawing/2014/main" id="{81FB7B66-B009-499E-A30C-4B8D39DE6408}"/>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200151" y="21564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35</xdr:row>
      <xdr:rowOff>0</xdr:rowOff>
    </xdr:from>
    <xdr:to>
      <xdr:col>2</xdr:col>
      <xdr:colOff>749648</xdr:colOff>
      <xdr:row>35</xdr:row>
      <xdr:rowOff>637200</xdr:rowOff>
    </xdr:to>
    <xdr:pic>
      <xdr:nvPicPr>
        <xdr:cNvPr id="110" name="Picture 109" descr="Evolved Medusa Icon">
          <a:extLst>
            <a:ext uri="{FF2B5EF4-FFF2-40B4-BE49-F238E27FC236}">
              <a16:creationId xmlns:a16="http://schemas.microsoft.com/office/drawing/2014/main" id="{DB45582B-015D-467D-97D6-00039894CB76}"/>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71676" y="21564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14</xdr:row>
      <xdr:rowOff>0</xdr:rowOff>
    </xdr:from>
    <xdr:to>
      <xdr:col>1</xdr:col>
      <xdr:colOff>749648</xdr:colOff>
      <xdr:row>14</xdr:row>
      <xdr:rowOff>637200</xdr:rowOff>
    </xdr:to>
    <xdr:pic>
      <xdr:nvPicPr>
        <xdr:cNvPr id="111" name="Picture 110" descr="Demogorgon Icon">
          <a:extLst>
            <a:ext uri="{FF2B5EF4-FFF2-40B4-BE49-F238E27FC236}">
              <a16:creationId xmlns:a16="http://schemas.microsoft.com/office/drawing/2014/main" id="{7479BDA5-879A-4595-A51A-2BEF735ED254}"/>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200151" y="7962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14</xdr:row>
      <xdr:rowOff>0</xdr:rowOff>
    </xdr:from>
    <xdr:to>
      <xdr:col>2</xdr:col>
      <xdr:colOff>749648</xdr:colOff>
      <xdr:row>14</xdr:row>
      <xdr:rowOff>637200</xdr:rowOff>
    </xdr:to>
    <xdr:pic>
      <xdr:nvPicPr>
        <xdr:cNvPr id="112" name="Picture 111" descr="Evolved Demogorgon Icon">
          <a:extLst>
            <a:ext uri="{FF2B5EF4-FFF2-40B4-BE49-F238E27FC236}">
              <a16:creationId xmlns:a16="http://schemas.microsoft.com/office/drawing/2014/main" id="{703A0B47-F215-40D6-B6F2-7E11A2345193}"/>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71676" y="7962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xdr:row>
      <xdr:rowOff>0</xdr:rowOff>
    </xdr:from>
    <xdr:to>
      <xdr:col>1</xdr:col>
      <xdr:colOff>749648</xdr:colOff>
      <xdr:row>58</xdr:row>
      <xdr:rowOff>637200</xdr:rowOff>
    </xdr:to>
    <xdr:pic>
      <xdr:nvPicPr>
        <xdr:cNvPr id="113" name="Picture 112" descr="Trixie Treat Icon">
          <a:extLst>
            <a:ext uri="{FF2B5EF4-FFF2-40B4-BE49-F238E27FC236}">
              <a16:creationId xmlns:a16="http://schemas.microsoft.com/office/drawing/2014/main" id="{6B5EFB22-E949-4CDB-BDFA-9A4B404D427B}"/>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200151" y="36461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58</xdr:row>
      <xdr:rowOff>0</xdr:rowOff>
    </xdr:from>
    <xdr:to>
      <xdr:col>2</xdr:col>
      <xdr:colOff>749648</xdr:colOff>
      <xdr:row>58</xdr:row>
      <xdr:rowOff>637200</xdr:rowOff>
    </xdr:to>
    <xdr:pic>
      <xdr:nvPicPr>
        <xdr:cNvPr id="114" name="Picture 113" descr="Evolved Trixie Treat Icon">
          <a:extLst>
            <a:ext uri="{FF2B5EF4-FFF2-40B4-BE49-F238E27FC236}">
              <a16:creationId xmlns:a16="http://schemas.microsoft.com/office/drawing/2014/main" id="{CAEE845B-FABC-4265-B73A-D9F5ACB2D502}"/>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71676" y="36461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46</xdr:row>
      <xdr:rowOff>0</xdr:rowOff>
    </xdr:from>
    <xdr:to>
      <xdr:col>1</xdr:col>
      <xdr:colOff>749648</xdr:colOff>
      <xdr:row>46</xdr:row>
      <xdr:rowOff>637200</xdr:rowOff>
    </xdr:to>
    <xdr:pic>
      <xdr:nvPicPr>
        <xdr:cNvPr id="115" name="Picture 114" descr="Revenant Icon">
          <a:extLst>
            <a:ext uri="{FF2B5EF4-FFF2-40B4-BE49-F238E27FC236}">
              <a16:creationId xmlns:a16="http://schemas.microsoft.com/office/drawing/2014/main" id="{52CED0FB-9D7E-4A5B-BECE-248839D77A13}"/>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200151" y="28689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46</xdr:row>
      <xdr:rowOff>0</xdr:rowOff>
    </xdr:from>
    <xdr:to>
      <xdr:col>2</xdr:col>
      <xdr:colOff>749648</xdr:colOff>
      <xdr:row>46</xdr:row>
      <xdr:rowOff>637200</xdr:rowOff>
    </xdr:to>
    <xdr:pic>
      <xdr:nvPicPr>
        <xdr:cNvPr id="116" name="Picture 115" descr="Evolved Revenant Icon">
          <a:extLst>
            <a:ext uri="{FF2B5EF4-FFF2-40B4-BE49-F238E27FC236}">
              <a16:creationId xmlns:a16="http://schemas.microsoft.com/office/drawing/2014/main" id="{2E4DD86D-2EDE-46DF-9C22-B9E4ACE9E807}"/>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71676" y="28689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xdr:row>
      <xdr:rowOff>0</xdr:rowOff>
    </xdr:from>
    <xdr:to>
      <xdr:col>1</xdr:col>
      <xdr:colOff>749648</xdr:colOff>
      <xdr:row>32</xdr:row>
      <xdr:rowOff>637200</xdr:rowOff>
    </xdr:to>
    <xdr:pic>
      <xdr:nvPicPr>
        <xdr:cNvPr id="117" name="Picture 116" descr="Lil Nick Icon">
          <a:extLst>
            <a:ext uri="{FF2B5EF4-FFF2-40B4-BE49-F238E27FC236}">
              <a16:creationId xmlns:a16="http://schemas.microsoft.com/office/drawing/2014/main" id="{BE0D7488-97C9-48D1-BA9D-BDBDC37D5C3B}"/>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200151" y="19621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32</xdr:row>
      <xdr:rowOff>0</xdr:rowOff>
    </xdr:from>
    <xdr:to>
      <xdr:col>2</xdr:col>
      <xdr:colOff>749648</xdr:colOff>
      <xdr:row>32</xdr:row>
      <xdr:rowOff>637200</xdr:rowOff>
    </xdr:to>
    <xdr:pic>
      <xdr:nvPicPr>
        <xdr:cNvPr id="118" name="Picture 117" descr="Evolved Lil Nick Icon">
          <a:extLst>
            <a:ext uri="{FF2B5EF4-FFF2-40B4-BE49-F238E27FC236}">
              <a16:creationId xmlns:a16="http://schemas.microsoft.com/office/drawing/2014/main" id="{97EE8C6F-FC78-4B03-A4A9-23B90E9A0D99}"/>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71676" y="19621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36</xdr:row>
      <xdr:rowOff>0</xdr:rowOff>
    </xdr:from>
    <xdr:to>
      <xdr:col>1</xdr:col>
      <xdr:colOff>749648</xdr:colOff>
      <xdr:row>36</xdr:row>
      <xdr:rowOff>637200</xdr:rowOff>
    </xdr:to>
    <xdr:pic>
      <xdr:nvPicPr>
        <xdr:cNvPr id="119" name="Picture 118" descr="Michael Icon">
          <a:extLst>
            <a:ext uri="{FF2B5EF4-FFF2-40B4-BE49-F238E27FC236}">
              <a16:creationId xmlns:a16="http://schemas.microsoft.com/office/drawing/2014/main" id="{EDAEF5DC-F963-454F-A9A2-C0A918C45CE9}"/>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200151" y="22212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36</xdr:row>
      <xdr:rowOff>0</xdr:rowOff>
    </xdr:from>
    <xdr:to>
      <xdr:col>2</xdr:col>
      <xdr:colOff>749648</xdr:colOff>
      <xdr:row>36</xdr:row>
      <xdr:rowOff>637200</xdr:rowOff>
    </xdr:to>
    <xdr:pic>
      <xdr:nvPicPr>
        <xdr:cNvPr id="120" name="Picture 119" descr="Evolved Michael Icon">
          <a:extLst>
            <a:ext uri="{FF2B5EF4-FFF2-40B4-BE49-F238E27FC236}">
              <a16:creationId xmlns:a16="http://schemas.microsoft.com/office/drawing/2014/main" id="{E0136242-CCA2-47CA-9915-5E535E8F2BFE}"/>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71676" y="22212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27</xdr:row>
      <xdr:rowOff>0</xdr:rowOff>
    </xdr:from>
    <xdr:to>
      <xdr:col>1</xdr:col>
      <xdr:colOff>749648</xdr:colOff>
      <xdr:row>27</xdr:row>
      <xdr:rowOff>637200</xdr:rowOff>
    </xdr:to>
    <xdr:pic>
      <xdr:nvPicPr>
        <xdr:cNvPr id="121" name="Picture 120" descr="Heartbreaker Icon">
          <a:extLst>
            <a:ext uri="{FF2B5EF4-FFF2-40B4-BE49-F238E27FC236}">
              <a16:creationId xmlns:a16="http://schemas.microsoft.com/office/drawing/2014/main" id="{A897A855-2AF6-4887-B2DC-59EDF87C4580}"/>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200151" y="16383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27</xdr:row>
      <xdr:rowOff>0</xdr:rowOff>
    </xdr:from>
    <xdr:to>
      <xdr:col>2</xdr:col>
      <xdr:colOff>749648</xdr:colOff>
      <xdr:row>27</xdr:row>
      <xdr:rowOff>637200</xdr:rowOff>
    </xdr:to>
    <xdr:pic>
      <xdr:nvPicPr>
        <xdr:cNvPr id="122" name="Picture 121" descr="Evolved Heartbreaker Icon">
          <a:extLst>
            <a:ext uri="{FF2B5EF4-FFF2-40B4-BE49-F238E27FC236}">
              <a16:creationId xmlns:a16="http://schemas.microsoft.com/office/drawing/2014/main" id="{2D71F2A8-BA4D-418B-B295-098676A9E6C9}"/>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71676" y="16383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34</xdr:row>
      <xdr:rowOff>0</xdr:rowOff>
    </xdr:from>
    <xdr:to>
      <xdr:col>1</xdr:col>
      <xdr:colOff>749648</xdr:colOff>
      <xdr:row>34</xdr:row>
      <xdr:rowOff>637200</xdr:rowOff>
    </xdr:to>
    <xdr:pic>
      <xdr:nvPicPr>
        <xdr:cNvPr id="123" name="Picture 122" descr="Marksman Icon">
          <a:extLst>
            <a:ext uri="{FF2B5EF4-FFF2-40B4-BE49-F238E27FC236}">
              <a16:creationId xmlns:a16="http://schemas.microsoft.com/office/drawing/2014/main" id="{51D89E1E-5E88-41D6-BA40-9051468DA86E}"/>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200151" y="20916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28</xdr:row>
      <xdr:rowOff>0</xdr:rowOff>
    </xdr:from>
    <xdr:to>
      <xdr:col>1</xdr:col>
      <xdr:colOff>749648</xdr:colOff>
      <xdr:row>28</xdr:row>
      <xdr:rowOff>637200</xdr:rowOff>
    </xdr:to>
    <xdr:pic>
      <xdr:nvPicPr>
        <xdr:cNvPr id="124" name="Picture 123" descr="Hill Giant Icon">
          <a:extLst>
            <a:ext uri="{FF2B5EF4-FFF2-40B4-BE49-F238E27FC236}">
              <a16:creationId xmlns:a16="http://schemas.microsoft.com/office/drawing/2014/main" id="{C70BB54B-7BFC-4226-9093-C7195445D37F}"/>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200151" y="17030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xdr:row>
      <xdr:rowOff>0</xdr:rowOff>
    </xdr:from>
    <xdr:to>
      <xdr:col>1</xdr:col>
      <xdr:colOff>749648</xdr:colOff>
      <xdr:row>20</xdr:row>
      <xdr:rowOff>637200</xdr:rowOff>
    </xdr:to>
    <xdr:pic>
      <xdr:nvPicPr>
        <xdr:cNvPr id="125" name="Picture 124" descr="Engineer Icon">
          <a:extLst>
            <a:ext uri="{FF2B5EF4-FFF2-40B4-BE49-F238E27FC236}">
              <a16:creationId xmlns:a16="http://schemas.microsoft.com/office/drawing/2014/main" id="{6B7AA054-952E-4F01-99B2-1C40D2DC943C}"/>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200151" y="11849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22</xdr:row>
      <xdr:rowOff>0</xdr:rowOff>
    </xdr:from>
    <xdr:to>
      <xdr:col>1</xdr:col>
      <xdr:colOff>758572</xdr:colOff>
      <xdr:row>22</xdr:row>
      <xdr:rowOff>637200</xdr:rowOff>
    </xdr:to>
    <xdr:pic>
      <xdr:nvPicPr>
        <xdr:cNvPr id="126" name="Picture 125" descr="Frost Witch Icon">
          <a:extLst>
            <a:ext uri="{FF2B5EF4-FFF2-40B4-BE49-F238E27FC236}">
              <a16:creationId xmlns:a16="http://schemas.microsoft.com/office/drawing/2014/main" id="{8BC89376-8CCB-4D5F-A86E-2DAAD8725279}"/>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200151" y="13144500"/>
          <a:ext cx="758571"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19</xdr:row>
      <xdr:rowOff>0</xdr:rowOff>
    </xdr:from>
    <xdr:to>
      <xdr:col>1</xdr:col>
      <xdr:colOff>758572</xdr:colOff>
      <xdr:row>19</xdr:row>
      <xdr:rowOff>637200</xdr:rowOff>
    </xdr:to>
    <xdr:pic>
      <xdr:nvPicPr>
        <xdr:cNvPr id="127" name="Picture 126" descr="Dryad Icon">
          <a:extLst>
            <a:ext uri="{FF2B5EF4-FFF2-40B4-BE49-F238E27FC236}">
              <a16:creationId xmlns:a16="http://schemas.microsoft.com/office/drawing/2014/main" id="{FAF8B00B-CDEC-4D52-8CCB-EBB6087B9EF7}"/>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200151" y="11201400"/>
          <a:ext cx="758571"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33</xdr:row>
      <xdr:rowOff>0</xdr:rowOff>
    </xdr:from>
    <xdr:to>
      <xdr:col>1</xdr:col>
      <xdr:colOff>749648</xdr:colOff>
      <xdr:row>33</xdr:row>
      <xdr:rowOff>637200</xdr:rowOff>
    </xdr:to>
    <xdr:pic>
      <xdr:nvPicPr>
        <xdr:cNvPr id="128" name="Picture 127" descr="Marauder Icon">
          <a:extLst>
            <a:ext uri="{FF2B5EF4-FFF2-40B4-BE49-F238E27FC236}">
              <a16:creationId xmlns:a16="http://schemas.microsoft.com/office/drawing/2014/main" id="{46677D77-858C-445F-AF09-BB1357D10B67}"/>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200151" y="20269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21</xdr:row>
      <xdr:rowOff>0</xdr:rowOff>
    </xdr:from>
    <xdr:to>
      <xdr:col>1</xdr:col>
      <xdr:colOff>749648</xdr:colOff>
      <xdr:row>21</xdr:row>
      <xdr:rowOff>637200</xdr:rowOff>
    </xdr:to>
    <xdr:pic>
      <xdr:nvPicPr>
        <xdr:cNvPr id="129" name="Picture 128" descr="Executioner Icon">
          <a:extLst>
            <a:ext uri="{FF2B5EF4-FFF2-40B4-BE49-F238E27FC236}">
              <a16:creationId xmlns:a16="http://schemas.microsoft.com/office/drawing/2014/main" id="{3D31F30C-1A39-4170-B912-306CE7F047A4}"/>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1200151" y="12496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xdr:row>
      <xdr:rowOff>0</xdr:rowOff>
    </xdr:from>
    <xdr:to>
      <xdr:col>1</xdr:col>
      <xdr:colOff>749648</xdr:colOff>
      <xdr:row>6</xdr:row>
      <xdr:rowOff>637200</xdr:rowOff>
    </xdr:to>
    <xdr:pic>
      <xdr:nvPicPr>
        <xdr:cNvPr id="130" name="Picture 129" descr="Assassin Icon">
          <a:extLst>
            <a:ext uri="{FF2B5EF4-FFF2-40B4-BE49-F238E27FC236}">
              <a16:creationId xmlns:a16="http://schemas.microsoft.com/office/drawing/2014/main" id="{7A9EC619-498F-4691-8410-0657D4FEB176}"/>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200151" y="2781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62</xdr:row>
      <xdr:rowOff>0</xdr:rowOff>
    </xdr:from>
    <xdr:to>
      <xdr:col>1</xdr:col>
      <xdr:colOff>749648</xdr:colOff>
      <xdr:row>62</xdr:row>
      <xdr:rowOff>637200</xdr:rowOff>
    </xdr:to>
    <xdr:pic>
      <xdr:nvPicPr>
        <xdr:cNvPr id="131" name="Picture 130" descr="Werewolf Icon">
          <a:extLst>
            <a:ext uri="{FF2B5EF4-FFF2-40B4-BE49-F238E27FC236}">
              <a16:creationId xmlns:a16="http://schemas.microsoft.com/office/drawing/2014/main" id="{39DBFA2D-F1D8-4718-8F47-88EF773733EC}"/>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1200151" y="39052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12</xdr:row>
      <xdr:rowOff>0</xdr:rowOff>
    </xdr:from>
    <xdr:to>
      <xdr:col>1</xdr:col>
      <xdr:colOff>749648</xdr:colOff>
      <xdr:row>12</xdr:row>
      <xdr:rowOff>637200</xdr:rowOff>
    </xdr:to>
    <xdr:pic>
      <xdr:nvPicPr>
        <xdr:cNvPr id="132" name="Picture 131" descr="Cyclops Icon">
          <a:extLst>
            <a:ext uri="{FF2B5EF4-FFF2-40B4-BE49-F238E27FC236}">
              <a16:creationId xmlns:a16="http://schemas.microsoft.com/office/drawing/2014/main" id="{E378B6AF-B20C-408E-A0A5-0AFF2B9B9518}"/>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200151" y="6667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41</xdr:row>
      <xdr:rowOff>0</xdr:rowOff>
    </xdr:from>
    <xdr:to>
      <xdr:col>1</xdr:col>
      <xdr:colOff>749648</xdr:colOff>
      <xdr:row>41</xdr:row>
      <xdr:rowOff>637200</xdr:rowOff>
    </xdr:to>
    <xdr:pic>
      <xdr:nvPicPr>
        <xdr:cNvPr id="133" name="Picture 132" descr="Pain-Da Icon">
          <a:extLst>
            <a:ext uri="{FF2B5EF4-FFF2-40B4-BE49-F238E27FC236}">
              <a16:creationId xmlns:a16="http://schemas.microsoft.com/office/drawing/2014/main" id="{295E5F88-26A1-4FCE-95AD-CDABB2100F69}"/>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1200151" y="25450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49</xdr:row>
      <xdr:rowOff>0</xdr:rowOff>
    </xdr:from>
    <xdr:to>
      <xdr:col>1</xdr:col>
      <xdr:colOff>749648</xdr:colOff>
      <xdr:row>49</xdr:row>
      <xdr:rowOff>637200</xdr:rowOff>
    </xdr:to>
    <xdr:pic>
      <xdr:nvPicPr>
        <xdr:cNvPr id="134" name="Picture 133" descr="Shaman Icon">
          <a:extLst>
            <a:ext uri="{FF2B5EF4-FFF2-40B4-BE49-F238E27FC236}">
              <a16:creationId xmlns:a16="http://schemas.microsoft.com/office/drawing/2014/main" id="{58B9A72F-F78C-401E-9830-5C522584B09F}"/>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200151" y="30632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48</xdr:row>
      <xdr:rowOff>0</xdr:rowOff>
    </xdr:from>
    <xdr:to>
      <xdr:col>1</xdr:col>
      <xdr:colOff>749648</xdr:colOff>
      <xdr:row>48</xdr:row>
      <xdr:rowOff>637200</xdr:rowOff>
    </xdr:to>
    <xdr:pic>
      <xdr:nvPicPr>
        <xdr:cNvPr id="135" name="Picture 134" descr="Serpent Queen Icon">
          <a:extLst>
            <a:ext uri="{FF2B5EF4-FFF2-40B4-BE49-F238E27FC236}">
              <a16:creationId xmlns:a16="http://schemas.microsoft.com/office/drawing/2014/main" id="{B27E7A6E-D798-47A0-977C-37CD4FBA8987}"/>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1200151" y="29984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29</xdr:row>
      <xdr:rowOff>0</xdr:rowOff>
    </xdr:from>
    <xdr:to>
      <xdr:col>1</xdr:col>
      <xdr:colOff>749648</xdr:colOff>
      <xdr:row>29</xdr:row>
      <xdr:rowOff>637200</xdr:rowOff>
    </xdr:to>
    <xdr:pic>
      <xdr:nvPicPr>
        <xdr:cNvPr id="136" name="Picture 135" descr="Ice Demon Icon">
          <a:extLst>
            <a:ext uri="{FF2B5EF4-FFF2-40B4-BE49-F238E27FC236}">
              <a16:creationId xmlns:a16="http://schemas.microsoft.com/office/drawing/2014/main" id="{3DC4F666-5AD1-4489-8FC7-06427BFFCF20}"/>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200151" y="17678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57</xdr:row>
      <xdr:rowOff>0</xdr:rowOff>
    </xdr:from>
    <xdr:to>
      <xdr:col>1</xdr:col>
      <xdr:colOff>749648</xdr:colOff>
      <xdr:row>57</xdr:row>
      <xdr:rowOff>637200</xdr:rowOff>
    </xdr:to>
    <xdr:pic>
      <xdr:nvPicPr>
        <xdr:cNvPr id="137" name="Picture 136" descr="Triton Icon">
          <a:extLst>
            <a:ext uri="{FF2B5EF4-FFF2-40B4-BE49-F238E27FC236}">
              <a16:creationId xmlns:a16="http://schemas.microsoft.com/office/drawing/2014/main" id="{44076E96-6333-4230-BEDC-98303E79B2F6}"/>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1200151" y="35814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2</xdr:row>
      <xdr:rowOff>0</xdr:rowOff>
    </xdr:from>
    <xdr:ext cx="762000" cy="638175"/>
    <xdr:pic>
      <xdr:nvPicPr>
        <xdr:cNvPr id="139" name="Picture 138" descr="Angel Icon">
          <a:extLst>
            <a:ext uri="{FF2B5EF4-FFF2-40B4-BE49-F238E27FC236}">
              <a16:creationId xmlns:a16="http://schemas.microsoft.com/office/drawing/2014/main" id="{E32B4604-D584-4E28-80CF-F745873D8FEA}"/>
            </a:ext>
          </a:extLst>
        </xdr:cNvPr>
        <xdr:cNvPicPr>
          <a:picLocks noChangeAspect="1" noChangeArrowheads="1"/>
        </xdr:cNvPicPr>
      </xdr:nvPicPr>
      <xdr:blipFill>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0" y="838200"/>
          <a:ext cx="762000" cy="63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0</xdr:colOff>
      <xdr:row>1</xdr:row>
      <xdr:rowOff>0</xdr:rowOff>
    </xdr:from>
    <xdr:to>
      <xdr:col>3</xdr:col>
      <xdr:colOff>762000</xdr:colOff>
      <xdr:row>1</xdr:row>
      <xdr:rowOff>638175</xdr:rowOff>
    </xdr:to>
    <xdr:pic>
      <xdr:nvPicPr>
        <xdr:cNvPr id="140" name="Picture 139" descr="Alchemist Icon">
          <a:extLst>
            <a:ext uri="{FF2B5EF4-FFF2-40B4-BE49-F238E27FC236}">
              <a16:creationId xmlns:a16="http://schemas.microsoft.com/office/drawing/2014/main" id="{8319893C-778B-4154-B635-373E43AABC8C}"/>
            </a:ext>
          </a:extLst>
        </xdr:cNvPr>
        <xdr:cNvPicPr>
          <a:picLocks noChangeAspect="1" noChangeArrowheads="1"/>
        </xdr:cNvPicPr>
      </xdr:nvPicPr>
      <xdr:blipFill>
        <a:blip xmlns:r="http://schemas.openxmlformats.org/officeDocument/2006/relationships" r:embed="rId2">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0" y="190500"/>
          <a:ext cx="762000"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xdr:row>
      <xdr:rowOff>0</xdr:rowOff>
    </xdr:from>
    <xdr:to>
      <xdr:col>3</xdr:col>
      <xdr:colOff>749648</xdr:colOff>
      <xdr:row>4</xdr:row>
      <xdr:rowOff>637200</xdr:rowOff>
    </xdr:to>
    <xdr:pic>
      <xdr:nvPicPr>
        <xdr:cNvPr id="141" name="Picture 140" descr="Arctica Icon">
          <a:extLst>
            <a:ext uri="{FF2B5EF4-FFF2-40B4-BE49-F238E27FC236}">
              <a16:creationId xmlns:a16="http://schemas.microsoft.com/office/drawing/2014/main" id="{74D3843F-C787-4C36-BA5A-219D32AE3C72}"/>
            </a:ext>
          </a:extLst>
        </xdr:cNvPr>
        <xdr:cNvPicPr>
          <a:picLocks noChangeAspect="1" noChangeArrowheads="1"/>
        </xdr:cNvPicPr>
      </xdr:nvPicPr>
      <xdr:blipFill>
        <a:blip xmlns:r="http://schemas.openxmlformats.org/officeDocument/2006/relationships" r:embed="rId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485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42</xdr:row>
      <xdr:rowOff>0</xdr:rowOff>
    </xdr:from>
    <xdr:to>
      <xdr:col>3</xdr:col>
      <xdr:colOff>749648</xdr:colOff>
      <xdr:row>42</xdr:row>
      <xdr:rowOff>637200</xdr:rowOff>
    </xdr:to>
    <xdr:pic>
      <xdr:nvPicPr>
        <xdr:cNvPr id="142" name="Picture 141" descr="Paladin Icon">
          <a:extLst>
            <a:ext uri="{FF2B5EF4-FFF2-40B4-BE49-F238E27FC236}">
              <a16:creationId xmlns:a16="http://schemas.microsoft.com/office/drawing/2014/main" id="{142D6C69-EB57-4640-A17B-9F96B558845B}"/>
            </a:ext>
          </a:extLst>
        </xdr:cNvPr>
        <xdr:cNvPicPr>
          <a:picLocks noChangeAspect="1" noChangeArrowheads="1"/>
        </xdr:cNvPicPr>
      </xdr:nvPicPr>
      <xdr:blipFill>
        <a:blip xmlns:r="http://schemas.openxmlformats.org/officeDocument/2006/relationships" r:embed="rId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6098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53</xdr:row>
      <xdr:rowOff>0</xdr:rowOff>
    </xdr:from>
    <xdr:to>
      <xdr:col>3</xdr:col>
      <xdr:colOff>749648</xdr:colOff>
      <xdr:row>53</xdr:row>
      <xdr:rowOff>637200</xdr:rowOff>
    </xdr:to>
    <xdr:pic>
      <xdr:nvPicPr>
        <xdr:cNvPr id="143" name="Picture 142" descr="Spirit Mage Icon">
          <a:extLst>
            <a:ext uri="{FF2B5EF4-FFF2-40B4-BE49-F238E27FC236}">
              <a16:creationId xmlns:a16="http://schemas.microsoft.com/office/drawing/2014/main" id="{7D3FAD45-7B77-4DA9-B6B2-25627AB36A56}"/>
            </a:ext>
          </a:extLst>
        </xdr:cNvPr>
        <xdr:cNvPicPr>
          <a:picLocks noChangeAspect="1" noChangeArrowheads="1"/>
        </xdr:cNvPicPr>
      </xdr:nvPicPr>
      <xdr:blipFill>
        <a:blip xmlns:r="http://schemas.openxmlformats.org/officeDocument/2006/relationships" r:embed="rId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3223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39</xdr:row>
      <xdr:rowOff>0</xdr:rowOff>
    </xdr:from>
    <xdr:to>
      <xdr:col>3</xdr:col>
      <xdr:colOff>749648</xdr:colOff>
      <xdr:row>39</xdr:row>
      <xdr:rowOff>637200</xdr:rowOff>
    </xdr:to>
    <xdr:pic>
      <xdr:nvPicPr>
        <xdr:cNvPr id="144" name="Picture 143" descr="Ninja Icon">
          <a:extLst>
            <a:ext uri="{FF2B5EF4-FFF2-40B4-BE49-F238E27FC236}">
              <a16:creationId xmlns:a16="http://schemas.microsoft.com/office/drawing/2014/main" id="{46DE9D45-3742-4239-8A12-E9D5EA0EB78F}"/>
            </a:ext>
          </a:extLst>
        </xdr:cNvPr>
        <xdr:cNvPicPr>
          <a:picLocks noChangeAspect="1" noChangeArrowheads="1"/>
        </xdr:cNvPicPr>
      </xdr:nvPicPr>
      <xdr:blipFill>
        <a:blip xmlns:r="http://schemas.openxmlformats.org/officeDocument/2006/relationships" r:embed="rId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4155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54</xdr:row>
      <xdr:rowOff>0</xdr:rowOff>
    </xdr:from>
    <xdr:to>
      <xdr:col>3</xdr:col>
      <xdr:colOff>749648</xdr:colOff>
      <xdr:row>54</xdr:row>
      <xdr:rowOff>637200</xdr:rowOff>
    </xdr:to>
    <xdr:pic>
      <xdr:nvPicPr>
        <xdr:cNvPr id="145" name="Picture 144" descr="Succubus Icon">
          <a:extLst>
            <a:ext uri="{FF2B5EF4-FFF2-40B4-BE49-F238E27FC236}">
              <a16:creationId xmlns:a16="http://schemas.microsoft.com/office/drawing/2014/main" id="{B62EC9D1-24F1-4B43-9153-FDE3E831780D}"/>
            </a:ext>
          </a:extLst>
        </xdr:cNvPr>
        <xdr:cNvPicPr>
          <a:picLocks noChangeAspect="1" noChangeArrowheads="1"/>
        </xdr:cNvPicPr>
      </xdr:nvPicPr>
      <xdr:blipFill>
        <a:blip xmlns:r="http://schemas.openxmlformats.org/officeDocument/2006/relationships" r:embed="rId1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3870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10</xdr:row>
      <xdr:rowOff>0</xdr:rowOff>
    </xdr:from>
    <xdr:to>
      <xdr:col>3</xdr:col>
      <xdr:colOff>749648</xdr:colOff>
      <xdr:row>10</xdr:row>
      <xdr:rowOff>637200</xdr:rowOff>
    </xdr:to>
    <xdr:pic>
      <xdr:nvPicPr>
        <xdr:cNvPr id="146" name="Picture 145" descr="Champion Icon">
          <a:extLst>
            <a:ext uri="{FF2B5EF4-FFF2-40B4-BE49-F238E27FC236}">
              <a16:creationId xmlns:a16="http://schemas.microsoft.com/office/drawing/2014/main" id="{8E36691E-6176-4C4E-A881-94D92D92CFFF}"/>
            </a:ext>
          </a:extLst>
        </xdr:cNvPr>
        <xdr:cNvPicPr>
          <a:picLocks noChangeAspect="1" noChangeArrowheads="1"/>
        </xdr:cNvPicPr>
      </xdr:nvPicPr>
      <xdr:blipFill>
        <a:blip xmlns:r="http://schemas.openxmlformats.org/officeDocument/2006/relationships" r:embed="rId1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5372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18</xdr:row>
      <xdr:rowOff>0</xdr:rowOff>
    </xdr:from>
    <xdr:to>
      <xdr:col>3</xdr:col>
      <xdr:colOff>749648</xdr:colOff>
      <xdr:row>18</xdr:row>
      <xdr:rowOff>637200</xdr:rowOff>
    </xdr:to>
    <xdr:pic>
      <xdr:nvPicPr>
        <xdr:cNvPr id="147" name="Picture 146" descr="Druid Icon">
          <a:extLst>
            <a:ext uri="{FF2B5EF4-FFF2-40B4-BE49-F238E27FC236}">
              <a16:creationId xmlns:a16="http://schemas.microsoft.com/office/drawing/2014/main" id="{73BA51E2-594B-47FA-B372-FAEDCC4B14CC}"/>
            </a:ext>
          </a:extLst>
        </xdr:cNvPr>
        <xdr:cNvPicPr>
          <a:picLocks noChangeAspect="1" noChangeArrowheads="1"/>
        </xdr:cNvPicPr>
      </xdr:nvPicPr>
      <xdr:blipFill>
        <a:blip xmlns:r="http://schemas.openxmlformats.org/officeDocument/2006/relationships" r:embed="rId1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0553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55</xdr:row>
      <xdr:rowOff>0</xdr:rowOff>
    </xdr:from>
    <xdr:to>
      <xdr:col>3</xdr:col>
      <xdr:colOff>749648</xdr:colOff>
      <xdr:row>55</xdr:row>
      <xdr:rowOff>637200</xdr:rowOff>
    </xdr:to>
    <xdr:pic>
      <xdr:nvPicPr>
        <xdr:cNvPr id="148" name="Picture 147" descr="Thunder God Icon">
          <a:extLst>
            <a:ext uri="{FF2B5EF4-FFF2-40B4-BE49-F238E27FC236}">
              <a16:creationId xmlns:a16="http://schemas.microsoft.com/office/drawing/2014/main" id="{485299EA-3022-4003-9B56-E8BED359D821}"/>
            </a:ext>
          </a:extLst>
        </xdr:cNvPr>
        <xdr:cNvPicPr>
          <a:picLocks noChangeAspect="1" noChangeArrowheads="1"/>
        </xdr:cNvPicPr>
      </xdr:nvPicPr>
      <xdr:blipFill>
        <a:blip xmlns:r="http://schemas.openxmlformats.org/officeDocument/2006/relationships" r:embed="rId1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4518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45</xdr:row>
      <xdr:rowOff>0</xdr:rowOff>
    </xdr:from>
    <xdr:to>
      <xdr:col>3</xdr:col>
      <xdr:colOff>749648</xdr:colOff>
      <xdr:row>45</xdr:row>
      <xdr:rowOff>637200</xdr:rowOff>
    </xdr:to>
    <xdr:pic>
      <xdr:nvPicPr>
        <xdr:cNvPr id="149" name="Picture 148" descr="Pumpkin Duke Icon">
          <a:extLst>
            <a:ext uri="{FF2B5EF4-FFF2-40B4-BE49-F238E27FC236}">
              <a16:creationId xmlns:a16="http://schemas.microsoft.com/office/drawing/2014/main" id="{1A42F1C8-9DBE-48AB-B289-E1D821590931}"/>
            </a:ext>
          </a:extLst>
        </xdr:cNvPr>
        <xdr:cNvPicPr>
          <a:picLocks noChangeAspect="1" noChangeArrowheads="1"/>
        </xdr:cNvPicPr>
      </xdr:nvPicPr>
      <xdr:blipFill>
        <a:blip xmlns:r="http://schemas.openxmlformats.org/officeDocument/2006/relationships" r:embed="rId1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8041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37</xdr:row>
      <xdr:rowOff>0</xdr:rowOff>
    </xdr:from>
    <xdr:to>
      <xdr:col>3</xdr:col>
      <xdr:colOff>749648</xdr:colOff>
      <xdr:row>37</xdr:row>
      <xdr:rowOff>637200</xdr:rowOff>
    </xdr:to>
    <xdr:pic>
      <xdr:nvPicPr>
        <xdr:cNvPr id="150" name="Picture 149" descr="Minotaur Chieftain Icon">
          <a:extLst>
            <a:ext uri="{FF2B5EF4-FFF2-40B4-BE49-F238E27FC236}">
              <a16:creationId xmlns:a16="http://schemas.microsoft.com/office/drawing/2014/main" id="{AC9DA0B0-0C2A-437A-A6D8-2371CB562CC5}"/>
            </a:ext>
          </a:extLst>
        </xdr:cNvPr>
        <xdr:cNvPicPr>
          <a:picLocks noChangeAspect="1" noChangeArrowheads="1"/>
        </xdr:cNvPicPr>
      </xdr:nvPicPr>
      <xdr:blipFill>
        <a:blip xmlns:r="http://schemas.openxmlformats.org/officeDocument/2006/relationships" r:embed="rId2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2860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25</xdr:row>
      <xdr:rowOff>0</xdr:rowOff>
    </xdr:from>
    <xdr:to>
      <xdr:col>3</xdr:col>
      <xdr:colOff>749648</xdr:colOff>
      <xdr:row>25</xdr:row>
      <xdr:rowOff>637200</xdr:rowOff>
    </xdr:to>
    <xdr:pic>
      <xdr:nvPicPr>
        <xdr:cNvPr id="151" name="Picture 150" descr="Grizzly Reaper Icon">
          <a:extLst>
            <a:ext uri="{FF2B5EF4-FFF2-40B4-BE49-F238E27FC236}">
              <a16:creationId xmlns:a16="http://schemas.microsoft.com/office/drawing/2014/main" id="{8562CB07-B318-4920-A17E-C295C55166F2}"/>
            </a:ext>
          </a:extLst>
        </xdr:cNvPr>
        <xdr:cNvPicPr>
          <a:picLocks noChangeAspect="1" noChangeArrowheads="1"/>
        </xdr:cNvPicPr>
      </xdr:nvPicPr>
      <xdr:blipFill>
        <a:blip xmlns:r="http://schemas.openxmlformats.org/officeDocument/2006/relationships" r:embed="rId2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5087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7</xdr:row>
      <xdr:rowOff>0</xdr:rowOff>
    </xdr:from>
    <xdr:to>
      <xdr:col>3</xdr:col>
      <xdr:colOff>749648</xdr:colOff>
      <xdr:row>7</xdr:row>
      <xdr:rowOff>637200</xdr:rowOff>
    </xdr:to>
    <xdr:pic>
      <xdr:nvPicPr>
        <xdr:cNvPr id="152" name="Picture 151" descr="Atlanticore Icon">
          <a:extLst>
            <a:ext uri="{FF2B5EF4-FFF2-40B4-BE49-F238E27FC236}">
              <a16:creationId xmlns:a16="http://schemas.microsoft.com/office/drawing/2014/main" id="{8BE290A5-6A48-4628-BAB9-66604C3C2742}"/>
            </a:ext>
          </a:extLst>
        </xdr:cNvPr>
        <xdr:cNvPicPr>
          <a:picLocks noChangeAspect="1" noChangeArrowheads="1"/>
        </xdr:cNvPicPr>
      </xdr:nvPicPr>
      <xdr:blipFill>
        <a:blip xmlns:r="http://schemas.openxmlformats.org/officeDocument/2006/relationships" r:embed="rId2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429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52</xdr:row>
      <xdr:rowOff>0</xdr:rowOff>
    </xdr:from>
    <xdr:to>
      <xdr:col>3</xdr:col>
      <xdr:colOff>749648</xdr:colOff>
      <xdr:row>52</xdr:row>
      <xdr:rowOff>637200</xdr:rowOff>
    </xdr:to>
    <xdr:pic>
      <xdr:nvPicPr>
        <xdr:cNvPr id="153" name="Picture 152" descr="Snowzilla Icon">
          <a:extLst>
            <a:ext uri="{FF2B5EF4-FFF2-40B4-BE49-F238E27FC236}">
              <a16:creationId xmlns:a16="http://schemas.microsoft.com/office/drawing/2014/main" id="{3AED72B2-DE91-49CA-B1CC-FA73F83126D3}"/>
            </a:ext>
          </a:extLst>
        </xdr:cNvPr>
        <xdr:cNvPicPr>
          <a:picLocks noChangeAspect="1" noChangeArrowheads="1"/>
        </xdr:cNvPicPr>
      </xdr:nvPicPr>
      <xdr:blipFill>
        <a:blip xmlns:r="http://schemas.openxmlformats.org/officeDocument/2006/relationships" r:embed="rId2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2575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11</xdr:row>
      <xdr:rowOff>0</xdr:rowOff>
    </xdr:from>
    <xdr:to>
      <xdr:col>3</xdr:col>
      <xdr:colOff>749648</xdr:colOff>
      <xdr:row>11</xdr:row>
      <xdr:rowOff>637200</xdr:rowOff>
    </xdr:to>
    <xdr:pic>
      <xdr:nvPicPr>
        <xdr:cNvPr id="154" name="Picture 153" descr="Cupid Icon">
          <a:extLst>
            <a:ext uri="{FF2B5EF4-FFF2-40B4-BE49-F238E27FC236}">
              <a16:creationId xmlns:a16="http://schemas.microsoft.com/office/drawing/2014/main" id="{D6A9D7D9-3D93-4E8A-A78A-0BECCA3E9791}"/>
            </a:ext>
          </a:extLst>
        </xdr:cNvPr>
        <xdr:cNvPicPr>
          <a:picLocks noChangeAspect="1" noChangeArrowheads="1"/>
        </xdr:cNvPicPr>
      </xdr:nvPicPr>
      <xdr:blipFill>
        <a:blip xmlns:r="http://schemas.openxmlformats.org/officeDocument/2006/relationships" r:embed="rId2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6019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30</xdr:row>
      <xdr:rowOff>0</xdr:rowOff>
    </xdr:from>
    <xdr:to>
      <xdr:col>4</xdr:col>
      <xdr:colOff>5549</xdr:colOff>
      <xdr:row>30</xdr:row>
      <xdr:rowOff>637200</xdr:rowOff>
    </xdr:to>
    <xdr:pic>
      <xdr:nvPicPr>
        <xdr:cNvPr id="155" name="Picture 154" descr="Immortep Icon">
          <a:extLst>
            <a:ext uri="{FF2B5EF4-FFF2-40B4-BE49-F238E27FC236}">
              <a16:creationId xmlns:a16="http://schemas.microsoft.com/office/drawing/2014/main" id="{4C67A2E6-7F68-4CAB-9A3C-3B6DC4EF30A4}"/>
            </a:ext>
          </a:extLst>
        </xdr:cNvPr>
        <xdr:cNvPicPr>
          <a:picLocks noChangeAspect="1" noChangeArrowheads="1"/>
        </xdr:cNvPicPr>
      </xdr:nvPicPr>
      <xdr:blipFill>
        <a:blip xmlns:r="http://schemas.openxmlformats.org/officeDocument/2006/relationships" r:embed="rId3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8326100"/>
          <a:ext cx="777073"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38</xdr:row>
      <xdr:rowOff>0</xdr:rowOff>
    </xdr:from>
    <xdr:to>
      <xdr:col>3</xdr:col>
      <xdr:colOff>749648</xdr:colOff>
      <xdr:row>38</xdr:row>
      <xdr:rowOff>637200</xdr:rowOff>
    </xdr:to>
    <xdr:pic>
      <xdr:nvPicPr>
        <xdr:cNvPr id="156" name="Picture 155" descr="Moltanica Icon">
          <a:extLst>
            <a:ext uri="{FF2B5EF4-FFF2-40B4-BE49-F238E27FC236}">
              <a16:creationId xmlns:a16="http://schemas.microsoft.com/office/drawing/2014/main" id="{79FD824A-447B-4240-A5A0-8467D4D7E26E}"/>
            </a:ext>
          </a:extLst>
        </xdr:cNvPr>
        <xdr:cNvPicPr>
          <a:picLocks noChangeAspect="1" noChangeArrowheads="1"/>
        </xdr:cNvPicPr>
      </xdr:nvPicPr>
      <xdr:blipFill>
        <a:blip xmlns:r="http://schemas.openxmlformats.org/officeDocument/2006/relationships" r:embed="rId3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3507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xdr:row>
      <xdr:rowOff>0</xdr:rowOff>
    </xdr:from>
    <xdr:to>
      <xdr:col>3</xdr:col>
      <xdr:colOff>749648</xdr:colOff>
      <xdr:row>5</xdr:row>
      <xdr:rowOff>637200</xdr:rowOff>
    </xdr:to>
    <xdr:pic>
      <xdr:nvPicPr>
        <xdr:cNvPr id="157" name="Picture 156" descr="Aries Icon">
          <a:extLst>
            <a:ext uri="{FF2B5EF4-FFF2-40B4-BE49-F238E27FC236}">
              <a16:creationId xmlns:a16="http://schemas.microsoft.com/office/drawing/2014/main" id="{6717263D-839A-483C-B76F-C7B0381B53FD}"/>
            </a:ext>
          </a:extLst>
        </xdr:cNvPr>
        <xdr:cNvPicPr>
          <a:picLocks noChangeAspect="1" noChangeArrowheads="1"/>
        </xdr:cNvPicPr>
      </xdr:nvPicPr>
      <xdr:blipFill>
        <a:blip xmlns:r="http://schemas.openxmlformats.org/officeDocument/2006/relationships" r:embed="rId3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133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60</xdr:row>
      <xdr:rowOff>0</xdr:rowOff>
    </xdr:from>
    <xdr:to>
      <xdr:col>3</xdr:col>
      <xdr:colOff>749648</xdr:colOff>
      <xdr:row>60</xdr:row>
      <xdr:rowOff>637200</xdr:rowOff>
    </xdr:to>
    <xdr:pic>
      <xdr:nvPicPr>
        <xdr:cNvPr id="158" name="Picture 157" descr="Vlad Dracula Icon">
          <a:extLst>
            <a:ext uri="{FF2B5EF4-FFF2-40B4-BE49-F238E27FC236}">
              <a16:creationId xmlns:a16="http://schemas.microsoft.com/office/drawing/2014/main" id="{63C212AF-1B6A-4439-928B-07CCC1B148C1}"/>
            </a:ext>
          </a:extLst>
        </xdr:cNvPr>
        <xdr:cNvPicPr>
          <a:picLocks noChangeAspect="1" noChangeArrowheads="1"/>
        </xdr:cNvPicPr>
      </xdr:nvPicPr>
      <xdr:blipFill>
        <a:blip xmlns:r="http://schemas.openxmlformats.org/officeDocument/2006/relationships" r:embed="rId3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7757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13</xdr:row>
      <xdr:rowOff>0</xdr:rowOff>
    </xdr:from>
    <xdr:to>
      <xdr:col>3</xdr:col>
      <xdr:colOff>749648</xdr:colOff>
      <xdr:row>13</xdr:row>
      <xdr:rowOff>637200</xdr:rowOff>
    </xdr:to>
    <xdr:pic>
      <xdr:nvPicPr>
        <xdr:cNvPr id="159" name="Picture 158" descr="Death Knight Icon">
          <a:extLst>
            <a:ext uri="{FF2B5EF4-FFF2-40B4-BE49-F238E27FC236}">
              <a16:creationId xmlns:a16="http://schemas.microsoft.com/office/drawing/2014/main" id="{2BDEE2B3-51D7-489E-AAE3-A3F29D527DE2}"/>
            </a:ext>
          </a:extLst>
        </xdr:cNvPr>
        <xdr:cNvPicPr>
          <a:picLocks noChangeAspect="1" noChangeArrowheads="1"/>
        </xdr:cNvPicPr>
      </xdr:nvPicPr>
      <xdr:blipFill>
        <a:blip xmlns:r="http://schemas.openxmlformats.org/officeDocument/2006/relationships" r:embed="rId3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7315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40</xdr:row>
      <xdr:rowOff>0</xdr:rowOff>
    </xdr:from>
    <xdr:to>
      <xdr:col>3</xdr:col>
      <xdr:colOff>749648</xdr:colOff>
      <xdr:row>40</xdr:row>
      <xdr:rowOff>637200</xdr:rowOff>
    </xdr:to>
    <xdr:pic>
      <xdr:nvPicPr>
        <xdr:cNvPr id="160" name="Picture 159" descr="Orksbane Icon">
          <a:extLst>
            <a:ext uri="{FF2B5EF4-FFF2-40B4-BE49-F238E27FC236}">
              <a16:creationId xmlns:a16="http://schemas.microsoft.com/office/drawing/2014/main" id="{D20E208A-CC0C-453C-98C3-137BC64C956E}"/>
            </a:ext>
          </a:extLst>
        </xdr:cNvPr>
        <xdr:cNvPicPr>
          <a:picLocks noChangeAspect="1" noChangeArrowheads="1"/>
        </xdr:cNvPicPr>
      </xdr:nvPicPr>
      <xdr:blipFill>
        <a:blip xmlns:r="http://schemas.openxmlformats.org/officeDocument/2006/relationships" r:embed="rId4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4803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47</xdr:row>
      <xdr:rowOff>0</xdr:rowOff>
    </xdr:from>
    <xdr:to>
      <xdr:col>3</xdr:col>
      <xdr:colOff>749648</xdr:colOff>
      <xdr:row>47</xdr:row>
      <xdr:rowOff>637200</xdr:rowOff>
    </xdr:to>
    <xdr:pic>
      <xdr:nvPicPr>
        <xdr:cNvPr id="161" name="Picture 160" descr="Santa Boom Icon">
          <a:extLst>
            <a:ext uri="{FF2B5EF4-FFF2-40B4-BE49-F238E27FC236}">
              <a16:creationId xmlns:a16="http://schemas.microsoft.com/office/drawing/2014/main" id="{9A18BCE0-10A4-4F0A-B3EB-99B810D3FD97}"/>
            </a:ext>
          </a:extLst>
        </xdr:cNvPr>
        <xdr:cNvPicPr>
          <a:picLocks noChangeAspect="1" noChangeArrowheads="1"/>
        </xdr:cNvPicPr>
      </xdr:nvPicPr>
      <xdr:blipFill>
        <a:blip xmlns:r="http://schemas.openxmlformats.org/officeDocument/2006/relationships" r:embed="rId4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9337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44</xdr:row>
      <xdr:rowOff>0</xdr:rowOff>
    </xdr:from>
    <xdr:to>
      <xdr:col>3</xdr:col>
      <xdr:colOff>749648</xdr:colOff>
      <xdr:row>44</xdr:row>
      <xdr:rowOff>637200</xdr:rowOff>
    </xdr:to>
    <xdr:pic>
      <xdr:nvPicPr>
        <xdr:cNvPr id="162" name="Picture 161" descr="Pixie Icon">
          <a:extLst>
            <a:ext uri="{FF2B5EF4-FFF2-40B4-BE49-F238E27FC236}">
              <a16:creationId xmlns:a16="http://schemas.microsoft.com/office/drawing/2014/main" id="{42FFA702-8B9A-4D6C-B99E-3060D1794C9A}"/>
            </a:ext>
          </a:extLst>
        </xdr:cNvPr>
        <xdr:cNvPicPr>
          <a:picLocks noChangeAspect="1" noChangeArrowheads="1"/>
        </xdr:cNvPicPr>
      </xdr:nvPicPr>
      <xdr:blipFill>
        <a:blip xmlns:r="http://schemas.openxmlformats.org/officeDocument/2006/relationships" r:embed="rId4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7393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50</xdr:row>
      <xdr:rowOff>0</xdr:rowOff>
    </xdr:from>
    <xdr:to>
      <xdr:col>3</xdr:col>
      <xdr:colOff>749648</xdr:colOff>
      <xdr:row>50</xdr:row>
      <xdr:rowOff>637200</xdr:rowOff>
    </xdr:to>
    <xdr:pic>
      <xdr:nvPicPr>
        <xdr:cNvPr id="163" name="Picture 162" descr="Siren Icon">
          <a:extLst>
            <a:ext uri="{FF2B5EF4-FFF2-40B4-BE49-F238E27FC236}">
              <a16:creationId xmlns:a16="http://schemas.microsoft.com/office/drawing/2014/main" id="{7759550F-8F4D-418A-9803-06BF64D689AF}"/>
            </a:ext>
          </a:extLst>
        </xdr:cNvPr>
        <xdr:cNvPicPr>
          <a:picLocks noChangeAspect="1" noChangeArrowheads="1"/>
        </xdr:cNvPicPr>
      </xdr:nvPicPr>
      <xdr:blipFill>
        <a:blip xmlns:r="http://schemas.openxmlformats.org/officeDocument/2006/relationships" r:embed="rId4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1280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15</xdr:row>
      <xdr:rowOff>0</xdr:rowOff>
    </xdr:from>
    <xdr:to>
      <xdr:col>3</xdr:col>
      <xdr:colOff>749648</xdr:colOff>
      <xdr:row>15</xdr:row>
      <xdr:rowOff>637200</xdr:rowOff>
    </xdr:to>
    <xdr:pic>
      <xdr:nvPicPr>
        <xdr:cNvPr id="164" name="Picture 163" descr="Destroyer Icon">
          <a:extLst>
            <a:ext uri="{FF2B5EF4-FFF2-40B4-BE49-F238E27FC236}">
              <a16:creationId xmlns:a16="http://schemas.microsoft.com/office/drawing/2014/main" id="{0D73B2A0-7D27-42EA-8153-C7424215FD2A}"/>
            </a:ext>
          </a:extLst>
        </xdr:cNvPr>
        <xdr:cNvPicPr>
          <a:picLocks noChangeAspect="1" noChangeArrowheads="1"/>
        </xdr:cNvPicPr>
      </xdr:nvPicPr>
      <xdr:blipFill>
        <a:blip xmlns:r="http://schemas.openxmlformats.org/officeDocument/2006/relationships" r:embed="rId4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8610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61</xdr:row>
      <xdr:rowOff>0</xdr:rowOff>
    </xdr:from>
    <xdr:to>
      <xdr:col>3</xdr:col>
      <xdr:colOff>749648</xdr:colOff>
      <xdr:row>61</xdr:row>
      <xdr:rowOff>637200</xdr:rowOff>
    </xdr:to>
    <xdr:pic>
      <xdr:nvPicPr>
        <xdr:cNvPr id="165" name="Picture 164" descr="Warlock Icon">
          <a:extLst>
            <a:ext uri="{FF2B5EF4-FFF2-40B4-BE49-F238E27FC236}">
              <a16:creationId xmlns:a16="http://schemas.microsoft.com/office/drawing/2014/main" id="{3F55C648-EF02-4756-9ED9-C403C1723189}"/>
            </a:ext>
          </a:extLst>
        </xdr:cNvPr>
        <xdr:cNvPicPr>
          <a:picLocks noChangeAspect="1" noChangeArrowheads="1"/>
        </xdr:cNvPicPr>
      </xdr:nvPicPr>
      <xdr:blipFill>
        <a:blip xmlns:r="http://schemas.openxmlformats.org/officeDocument/2006/relationships" r:embed="rId5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8404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56</xdr:row>
      <xdr:rowOff>0</xdr:rowOff>
    </xdr:from>
    <xdr:to>
      <xdr:col>3</xdr:col>
      <xdr:colOff>749648</xdr:colOff>
      <xdr:row>56</xdr:row>
      <xdr:rowOff>637200</xdr:rowOff>
    </xdr:to>
    <xdr:pic>
      <xdr:nvPicPr>
        <xdr:cNvPr id="166" name="Picture 165" descr="Treantaur Icon">
          <a:extLst>
            <a:ext uri="{FF2B5EF4-FFF2-40B4-BE49-F238E27FC236}">
              <a16:creationId xmlns:a16="http://schemas.microsoft.com/office/drawing/2014/main" id="{A90E6CFC-1321-43DE-A19F-D3BF7CCBCCCE}"/>
            </a:ext>
          </a:extLst>
        </xdr:cNvPr>
        <xdr:cNvPicPr>
          <a:picLocks noChangeAspect="1" noChangeArrowheads="1"/>
        </xdr:cNvPicPr>
      </xdr:nvPicPr>
      <xdr:blipFill>
        <a:blip xmlns:r="http://schemas.openxmlformats.org/officeDocument/2006/relationships" r:embed="rId5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5166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26</xdr:row>
      <xdr:rowOff>0</xdr:rowOff>
    </xdr:from>
    <xdr:to>
      <xdr:col>3</xdr:col>
      <xdr:colOff>749648</xdr:colOff>
      <xdr:row>26</xdr:row>
      <xdr:rowOff>637200</xdr:rowOff>
    </xdr:to>
    <xdr:pic>
      <xdr:nvPicPr>
        <xdr:cNvPr id="167" name="Picture 166" descr="Harpy Queen Icon">
          <a:extLst>
            <a:ext uri="{FF2B5EF4-FFF2-40B4-BE49-F238E27FC236}">
              <a16:creationId xmlns:a16="http://schemas.microsoft.com/office/drawing/2014/main" id="{45D91E37-7324-4C63-A770-7ED7219916D7}"/>
            </a:ext>
          </a:extLst>
        </xdr:cNvPr>
        <xdr:cNvPicPr>
          <a:picLocks noChangeAspect="1" noChangeArrowheads="1"/>
        </xdr:cNvPicPr>
      </xdr:nvPicPr>
      <xdr:blipFill>
        <a:blip xmlns:r="http://schemas.openxmlformats.org/officeDocument/2006/relationships" r:embed="rId5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5735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51</xdr:row>
      <xdr:rowOff>0</xdr:rowOff>
    </xdr:from>
    <xdr:to>
      <xdr:col>3</xdr:col>
      <xdr:colOff>749648</xdr:colOff>
      <xdr:row>51</xdr:row>
      <xdr:rowOff>637200</xdr:rowOff>
    </xdr:to>
    <xdr:pic>
      <xdr:nvPicPr>
        <xdr:cNvPr id="168" name="Picture 167" descr="Skull Knight Icon">
          <a:extLst>
            <a:ext uri="{FF2B5EF4-FFF2-40B4-BE49-F238E27FC236}">
              <a16:creationId xmlns:a16="http://schemas.microsoft.com/office/drawing/2014/main" id="{527EE1E1-296A-4CCC-9A18-20AA7D1F1C9B}"/>
            </a:ext>
          </a:extLst>
        </xdr:cNvPr>
        <xdr:cNvPicPr>
          <a:picLocks noChangeAspect="1" noChangeArrowheads="1"/>
        </xdr:cNvPicPr>
      </xdr:nvPicPr>
      <xdr:blipFill>
        <a:blip xmlns:r="http://schemas.openxmlformats.org/officeDocument/2006/relationships" r:embed="rId5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1927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17</xdr:row>
      <xdr:rowOff>0</xdr:rowOff>
    </xdr:from>
    <xdr:to>
      <xdr:col>3</xdr:col>
      <xdr:colOff>749648</xdr:colOff>
      <xdr:row>17</xdr:row>
      <xdr:rowOff>637200</xdr:rowOff>
    </xdr:to>
    <xdr:pic>
      <xdr:nvPicPr>
        <xdr:cNvPr id="169" name="Picture 168" descr="Dread Drake Icon">
          <a:extLst>
            <a:ext uri="{FF2B5EF4-FFF2-40B4-BE49-F238E27FC236}">
              <a16:creationId xmlns:a16="http://schemas.microsoft.com/office/drawing/2014/main" id="{349DE1B0-4286-4A7C-9970-6D9ADCD3A615}"/>
            </a:ext>
          </a:extLst>
        </xdr:cNvPr>
        <xdr:cNvPicPr>
          <a:picLocks noChangeAspect="1" noChangeArrowheads="1"/>
        </xdr:cNvPicPr>
      </xdr:nvPicPr>
      <xdr:blipFill>
        <a:blip xmlns:r="http://schemas.openxmlformats.org/officeDocument/2006/relationships" r:embed="rId5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9906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23</xdr:row>
      <xdr:rowOff>0</xdr:rowOff>
    </xdr:from>
    <xdr:to>
      <xdr:col>3</xdr:col>
      <xdr:colOff>749648</xdr:colOff>
      <xdr:row>23</xdr:row>
      <xdr:rowOff>637200</xdr:rowOff>
    </xdr:to>
    <xdr:pic>
      <xdr:nvPicPr>
        <xdr:cNvPr id="170" name="Picture 169" descr="Ghoulem Icon">
          <a:extLst>
            <a:ext uri="{FF2B5EF4-FFF2-40B4-BE49-F238E27FC236}">
              <a16:creationId xmlns:a16="http://schemas.microsoft.com/office/drawing/2014/main" id="{B9693E32-7E67-423D-850B-75F794F518FB}"/>
            </a:ext>
          </a:extLst>
        </xdr:cNvPr>
        <xdr:cNvPicPr>
          <a:picLocks noChangeAspect="1" noChangeArrowheads="1"/>
        </xdr:cNvPicPr>
      </xdr:nvPicPr>
      <xdr:blipFill>
        <a:blip xmlns:r="http://schemas.openxmlformats.org/officeDocument/2006/relationships" r:embed="rId6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3792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9</xdr:row>
      <xdr:rowOff>0</xdr:rowOff>
    </xdr:from>
    <xdr:to>
      <xdr:col>3</xdr:col>
      <xdr:colOff>749648</xdr:colOff>
      <xdr:row>9</xdr:row>
      <xdr:rowOff>637200</xdr:rowOff>
    </xdr:to>
    <xdr:pic>
      <xdr:nvPicPr>
        <xdr:cNvPr id="171" name="Picture 170" descr="Candy Kane Icon">
          <a:extLst>
            <a:ext uri="{FF2B5EF4-FFF2-40B4-BE49-F238E27FC236}">
              <a16:creationId xmlns:a16="http://schemas.microsoft.com/office/drawing/2014/main" id="{A134F7DB-798B-4497-8FB5-0D8EB6923164}"/>
            </a:ext>
          </a:extLst>
        </xdr:cNvPr>
        <xdr:cNvPicPr>
          <a:picLocks noChangeAspect="1" noChangeArrowheads="1"/>
        </xdr:cNvPicPr>
      </xdr:nvPicPr>
      <xdr:blipFill>
        <a:blip xmlns:r="http://schemas.openxmlformats.org/officeDocument/2006/relationships" r:embed="rId6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4724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59</xdr:row>
      <xdr:rowOff>0</xdr:rowOff>
    </xdr:from>
    <xdr:to>
      <xdr:col>3</xdr:col>
      <xdr:colOff>749648</xdr:colOff>
      <xdr:row>59</xdr:row>
      <xdr:rowOff>637200</xdr:rowOff>
    </xdr:to>
    <xdr:pic>
      <xdr:nvPicPr>
        <xdr:cNvPr id="172" name="Picture 171" descr="Valentina Icon">
          <a:extLst>
            <a:ext uri="{FF2B5EF4-FFF2-40B4-BE49-F238E27FC236}">
              <a16:creationId xmlns:a16="http://schemas.microsoft.com/office/drawing/2014/main" id="{E830B109-4698-4FA6-9E2A-7CED0C6B2047}"/>
            </a:ext>
          </a:extLst>
        </xdr:cNvPr>
        <xdr:cNvPicPr>
          <a:picLocks noChangeAspect="1" noChangeArrowheads="1"/>
        </xdr:cNvPicPr>
      </xdr:nvPicPr>
      <xdr:blipFill>
        <a:blip xmlns:r="http://schemas.openxmlformats.org/officeDocument/2006/relationships" r:embed="rId6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7109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43</xdr:row>
      <xdr:rowOff>0</xdr:rowOff>
    </xdr:from>
    <xdr:to>
      <xdr:col>3</xdr:col>
      <xdr:colOff>749648</xdr:colOff>
      <xdr:row>43</xdr:row>
      <xdr:rowOff>637200</xdr:rowOff>
    </xdr:to>
    <xdr:pic>
      <xdr:nvPicPr>
        <xdr:cNvPr id="173" name="Picture 172" descr="Phantom King Icon">
          <a:extLst>
            <a:ext uri="{FF2B5EF4-FFF2-40B4-BE49-F238E27FC236}">
              <a16:creationId xmlns:a16="http://schemas.microsoft.com/office/drawing/2014/main" id="{A990C9F6-96B6-460E-B279-B2EB0EAFE710}"/>
            </a:ext>
          </a:extLst>
        </xdr:cNvPr>
        <xdr:cNvPicPr>
          <a:picLocks noChangeAspect="1" noChangeArrowheads="1"/>
        </xdr:cNvPicPr>
      </xdr:nvPicPr>
      <xdr:blipFill>
        <a:blip xmlns:r="http://schemas.openxmlformats.org/officeDocument/2006/relationships" r:embed="rId6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6746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8</xdr:row>
      <xdr:rowOff>0</xdr:rowOff>
    </xdr:from>
    <xdr:to>
      <xdr:col>3</xdr:col>
      <xdr:colOff>749648</xdr:colOff>
      <xdr:row>8</xdr:row>
      <xdr:rowOff>637200</xdr:rowOff>
    </xdr:to>
    <xdr:pic>
      <xdr:nvPicPr>
        <xdr:cNvPr id="174" name="Picture 173" descr="Beast Tamer Icon">
          <a:extLst>
            <a:ext uri="{FF2B5EF4-FFF2-40B4-BE49-F238E27FC236}">
              <a16:creationId xmlns:a16="http://schemas.microsoft.com/office/drawing/2014/main" id="{1862F69D-5BC1-4862-90A9-89F240EBFB3F}"/>
            </a:ext>
          </a:extLst>
        </xdr:cNvPr>
        <xdr:cNvPicPr>
          <a:picLocks noChangeAspect="1" noChangeArrowheads="1"/>
        </xdr:cNvPicPr>
      </xdr:nvPicPr>
      <xdr:blipFill>
        <a:blip xmlns:r="http://schemas.openxmlformats.org/officeDocument/2006/relationships" r:embed="rId6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4076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31</xdr:row>
      <xdr:rowOff>0</xdr:rowOff>
    </xdr:from>
    <xdr:to>
      <xdr:col>3</xdr:col>
      <xdr:colOff>749648</xdr:colOff>
      <xdr:row>31</xdr:row>
      <xdr:rowOff>637200</xdr:rowOff>
    </xdr:to>
    <xdr:pic>
      <xdr:nvPicPr>
        <xdr:cNvPr id="175" name="Picture 174" descr="Lady Leo Icon">
          <a:extLst>
            <a:ext uri="{FF2B5EF4-FFF2-40B4-BE49-F238E27FC236}">
              <a16:creationId xmlns:a16="http://schemas.microsoft.com/office/drawing/2014/main" id="{358AE113-ED3E-41F3-BEF5-99E66E106DF4}"/>
            </a:ext>
          </a:extLst>
        </xdr:cNvPr>
        <xdr:cNvPicPr>
          <a:picLocks noChangeAspect="1" noChangeArrowheads="1"/>
        </xdr:cNvPicPr>
      </xdr:nvPicPr>
      <xdr:blipFill>
        <a:blip xmlns:r="http://schemas.openxmlformats.org/officeDocument/2006/relationships" r:embed="rId7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8973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24</xdr:row>
      <xdr:rowOff>0</xdr:rowOff>
    </xdr:from>
    <xdr:to>
      <xdr:col>3</xdr:col>
      <xdr:colOff>749648</xdr:colOff>
      <xdr:row>24</xdr:row>
      <xdr:rowOff>637200</xdr:rowOff>
    </xdr:to>
    <xdr:pic>
      <xdr:nvPicPr>
        <xdr:cNvPr id="176" name="Picture 175" descr="Grimfiend Icon">
          <a:extLst>
            <a:ext uri="{FF2B5EF4-FFF2-40B4-BE49-F238E27FC236}">
              <a16:creationId xmlns:a16="http://schemas.microsoft.com/office/drawing/2014/main" id="{55B71B17-D33C-43B7-973A-F6DAE509967B}"/>
            </a:ext>
          </a:extLst>
        </xdr:cNvPr>
        <xdr:cNvPicPr>
          <a:picLocks noChangeAspect="1" noChangeArrowheads="1"/>
        </xdr:cNvPicPr>
      </xdr:nvPicPr>
      <xdr:blipFill>
        <a:blip xmlns:r="http://schemas.openxmlformats.org/officeDocument/2006/relationships" r:embed="rId7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4439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16</xdr:row>
      <xdr:rowOff>0</xdr:rowOff>
    </xdr:from>
    <xdr:to>
      <xdr:col>3</xdr:col>
      <xdr:colOff>749648</xdr:colOff>
      <xdr:row>16</xdr:row>
      <xdr:rowOff>637200</xdr:rowOff>
    </xdr:to>
    <xdr:pic>
      <xdr:nvPicPr>
        <xdr:cNvPr id="177" name="Picture 176" descr="Dracax Icon">
          <a:extLst>
            <a:ext uri="{FF2B5EF4-FFF2-40B4-BE49-F238E27FC236}">
              <a16:creationId xmlns:a16="http://schemas.microsoft.com/office/drawing/2014/main" id="{371F708A-711E-4E3E-A14D-26A314C394D3}"/>
            </a:ext>
          </a:extLst>
        </xdr:cNvPr>
        <xdr:cNvPicPr>
          <a:picLocks noChangeAspect="1" noChangeArrowheads="1"/>
        </xdr:cNvPicPr>
      </xdr:nvPicPr>
      <xdr:blipFill>
        <a:blip xmlns:r="http://schemas.openxmlformats.org/officeDocument/2006/relationships" r:embed="rId7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9258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35</xdr:row>
      <xdr:rowOff>0</xdr:rowOff>
    </xdr:from>
    <xdr:to>
      <xdr:col>3</xdr:col>
      <xdr:colOff>749648</xdr:colOff>
      <xdr:row>35</xdr:row>
      <xdr:rowOff>637200</xdr:rowOff>
    </xdr:to>
    <xdr:pic>
      <xdr:nvPicPr>
        <xdr:cNvPr id="178" name="Picture 177" descr="Medusa Icon">
          <a:extLst>
            <a:ext uri="{FF2B5EF4-FFF2-40B4-BE49-F238E27FC236}">
              <a16:creationId xmlns:a16="http://schemas.microsoft.com/office/drawing/2014/main" id="{AF59393F-95EE-4EE3-B5E7-5C09EE311FE7}"/>
            </a:ext>
          </a:extLst>
        </xdr:cNvPr>
        <xdr:cNvPicPr>
          <a:picLocks noChangeAspect="1" noChangeArrowheads="1"/>
        </xdr:cNvPicPr>
      </xdr:nvPicPr>
      <xdr:blipFill>
        <a:blip xmlns:r="http://schemas.openxmlformats.org/officeDocument/2006/relationships" r:embed="rId7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15646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14</xdr:row>
      <xdr:rowOff>0</xdr:rowOff>
    </xdr:from>
    <xdr:to>
      <xdr:col>3</xdr:col>
      <xdr:colOff>749648</xdr:colOff>
      <xdr:row>14</xdr:row>
      <xdr:rowOff>637200</xdr:rowOff>
    </xdr:to>
    <xdr:pic>
      <xdr:nvPicPr>
        <xdr:cNvPr id="179" name="Picture 178" descr="Demogorgon Icon">
          <a:extLst>
            <a:ext uri="{FF2B5EF4-FFF2-40B4-BE49-F238E27FC236}">
              <a16:creationId xmlns:a16="http://schemas.microsoft.com/office/drawing/2014/main" id="{5C6DF973-0731-46A9-A59D-C4560349E8BB}"/>
            </a:ext>
          </a:extLst>
        </xdr:cNvPr>
        <xdr:cNvPicPr>
          <a:picLocks noChangeAspect="1" noChangeArrowheads="1"/>
        </xdr:cNvPicPr>
      </xdr:nvPicPr>
      <xdr:blipFill>
        <a:blip xmlns:r="http://schemas.openxmlformats.org/officeDocument/2006/relationships" r:embed="rId7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7962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58</xdr:row>
      <xdr:rowOff>0</xdr:rowOff>
    </xdr:from>
    <xdr:to>
      <xdr:col>3</xdr:col>
      <xdr:colOff>749648</xdr:colOff>
      <xdr:row>58</xdr:row>
      <xdr:rowOff>637200</xdr:rowOff>
    </xdr:to>
    <xdr:pic>
      <xdr:nvPicPr>
        <xdr:cNvPr id="180" name="Picture 179" descr="Trixie Treat Icon">
          <a:extLst>
            <a:ext uri="{FF2B5EF4-FFF2-40B4-BE49-F238E27FC236}">
              <a16:creationId xmlns:a16="http://schemas.microsoft.com/office/drawing/2014/main" id="{7B1BB1FB-919A-4CEB-933E-6CC747D1BD31}"/>
            </a:ext>
          </a:extLst>
        </xdr:cNvPr>
        <xdr:cNvPicPr>
          <a:picLocks noChangeAspect="1" noChangeArrowheads="1"/>
        </xdr:cNvPicPr>
      </xdr:nvPicPr>
      <xdr:blipFill>
        <a:blip xmlns:r="http://schemas.openxmlformats.org/officeDocument/2006/relationships" r:embed="rId8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6461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46</xdr:row>
      <xdr:rowOff>0</xdr:rowOff>
    </xdr:from>
    <xdr:to>
      <xdr:col>3</xdr:col>
      <xdr:colOff>749648</xdr:colOff>
      <xdr:row>46</xdr:row>
      <xdr:rowOff>637200</xdr:rowOff>
    </xdr:to>
    <xdr:pic>
      <xdr:nvPicPr>
        <xdr:cNvPr id="181" name="Picture 180" descr="Revenant Icon">
          <a:extLst>
            <a:ext uri="{FF2B5EF4-FFF2-40B4-BE49-F238E27FC236}">
              <a16:creationId xmlns:a16="http://schemas.microsoft.com/office/drawing/2014/main" id="{881F2F56-B0AC-47AF-92B9-3BF36E514518}"/>
            </a:ext>
          </a:extLst>
        </xdr:cNvPr>
        <xdr:cNvPicPr>
          <a:picLocks noChangeAspect="1" noChangeArrowheads="1"/>
        </xdr:cNvPicPr>
      </xdr:nvPicPr>
      <xdr:blipFill>
        <a:blip xmlns:r="http://schemas.openxmlformats.org/officeDocument/2006/relationships" r:embed="rId8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8689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32</xdr:row>
      <xdr:rowOff>0</xdr:rowOff>
    </xdr:from>
    <xdr:to>
      <xdr:col>3</xdr:col>
      <xdr:colOff>749648</xdr:colOff>
      <xdr:row>32</xdr:row>
      <xdr:rowOff>637200</xdr:rowOff>
    </xdr:to>
    <xdr:pic>
      <xdr:nvPicPr>
        <xdr:cNvPr id="182" name="Picture 181" descr="Lil Nick Icon">
          <a:extLst>
            <a:ext uri="{FF2B5EF4-FFF2-40B4-BE49-F238E27FC236}">
              <a16:creationId xmlns:a16="http://schemas.microsoft.com/office/drawing/2014/main" id="{74E83E8C-FB93-4AD9-8FE9-E513BD7577A0}"/>
            </a:ext>
          </a:extLst>
        </xdr:cNvPr>
        <xdr:cNvPicPr>
          <a:picLocks noChangeAspect="1" noChangeArrowheads="1"/>
        </xdr:cNvPicPr>
      </xdr:nvPicPr>
      <xdr:blipFill>
        <a:blip xmlns:r="http://schemas.openxmlformats.org/officeDocument/2006/relationships" r:embed="rId8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9621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36</xdr:row>
      <xdr:rowOff>0</xdr:rowOff>
    </xdr:from>
    <xdr:to>
      <xdr:col>3</xdr:col>
      <xdr:colOff>749648</xdr:colOff>
      <xdr:row>36</xdr:row>
      <xdr:rowOff>637200</xdr:rowOff>
    </xdr:to>
    <xdr:pic>
      <xdr:nvPicPr>
        <xdr:cNvPr id="183" name="Picture 182" descr="Michael Icon">
          <a:extLst>
            <a:ext uri="{FF2B5EF4-FFF2-40B4-BE49-F238E27FC236}">
              <a16:creationId xmlns:a16="http://schemas.microsoft.com/office/drawing/2014/main" id="{3EE5E7B3-A1BD-4B24-8283-C075DCA0CED5}"/>
            </a:ext>
          </a:extLst>
        </xdr:cNvPr>
        <xdr:cNvPicPr>
          <a:picLocks noChangeAspect="1" noChangeArrowheads="1"/>
        </xdr:cNvPicPr>
      </xdr:nvPicPr>
      <xdr:blipFill>
        <a:blip xmlns:r="http://schemas.openxmlformats.org/officeDocument/2006/relationships" r:embed="rId8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2212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27</xdr:row>
      <xdr:rowOff>0</xdr:rowOff>
    </xdr:from>
    <xdr:to>
      <xdr:col>3</xdr:col>
      <xdr:colOff>749648</xdr:colOff>
      <xdr:row>27</xdr:row>
      <xdr:rowOff>637200</xdr:rowOff>
    </xdr:to>
    <xdr:pic>
      <xdr:nvPicPr>
        <xdr:cNvPr id="184" name="Picture 183" descr="Heartbreaker Icon">
          <a:extLst>
            <a:ext uri="{FF2B5EF4-FFF2-40B4-BE49-F238E27FC236}">
              <a16:creationId xmlns:a16="http://schemas.microsoft.com/office/drawing/2014/main" id="{1E19ECF4-2310-41DB-B38F-426DBB3AB02B}"/>
            </a:ext>
          </a:extLst>
        </xdr:cNvPr>
        <xdr:cNvPicPr>
          <a:picLocks noChangeAspect="1" noChangeArrowheads="1"/>
        </xdr:cNvPicPr>
      </xdr:nvPicPr>
      <xdr:blipFill>
        <a:blip xmlns:r="http://schemas.openxmlformats.org/officeDocument/2006/relationships" r:embed="rId8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6383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34</xdr:row>
      <xdr:rowOff>0</xdr:rowOff>
    </xdr:from>
    <xdr:to>
      <xdr:col>3</xdr:col>
      <xdr:colOff>749648</xdr:colOff>
      <xdr:row>34</xdr:row>
      <xdr:rowOff>637200</xdr:rowOff>
    </xdr:to>
    <xdr:pic>
      <xdr:nvPicPr>
        <xdr:cNvPr id="185" name="Picture 184" descr="Marksman Icon">
          <a:extLst>
            <a:ext uri="{FF2B5EF4-FFF2-40B4-BE49-F238E27FC236}">
              <a16:creationId xmlns:a16="http://schemas.microsoft.com/office/drawing/2014/main" id="{8A10D47E-6DBC-47C6-B33C-2FDA155E1CC9}"/>
            </a:ext>
          </a:extLst>
        </xdr:cNvPr>
        <xdr:cNvPicPr>
          <a:picLocks noChangeAspect="1" noChangeArrowheads="1"/>
        </xdr:cNvPicPr>
      </xdr:nvPicPr>
      <xdr:blipFill>
        <a:blip xmlns:r="http://schemas.openxmlformats.org/officeDocument/2006/relationships" r:embed="rId9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0916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28</xdr:row>
      <xdr:rowOff>0</xdr:rowOff>
    </xdr:from>
    <xdr:to>
      <xdr:col>3</xdr:col>
      <xdr:colOff>749648</xdr:colOff>
      <xdr:row>28</xdr:row>
      <xdr:rowOff>637200</xdr:rowOff>
    </xdr:to>
    <xdr:pic>
      <xdr:nvPicPr>
        <xdr:cNvPr id="186" name="Picture 185" descr="Hill Giant Icon">
          <a:extLst>
            <a:ext uri="{FF2B5EF4-FFF2-40B4-BE49-F238E27FC236}">
              <a16:creationId xmlns:a16="http://schemas.microsoft.com/office/drawing/2014/main" id="{1435CD59-0A10-4670-AFD0-94D43C8D25E1}"/>
            </a:ext>
          </a:extLst>
        </xdr:cNvPr>
        <xdr:cNvPicPr>
          <a:picLocks noChangeAspect="1" noChangeArrowheads="1"/>
        </xdr:cNvPicPr>
      </xdr:nvPicPr>
      <xdr:blipFill>
        <a:blip xmlns:r="http://schemas.openxmlformats.org/officeDocument/2006/relationships" r:embed="rId92">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7030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20</xdr:row>
      <xdr:rowOff>0</xdr:rowOff>
    </xdr:from>
    <xdr:to>
      <xdr:col>3</xdr:col>
      <xdr:colOff>749648</xdr:colOff>
      <xdr:row>20</xdr:row>
      <xdr:rowOff>637200</xdr:rowOff>
    </xdr:to>
    <xdr:pic>
      <xdr:nvPicPr>
        <xdr:cNvPr id="187" name="Picture 186" descr="Engineer Icon">
          <a:extLst>
            <a:ext uri="{FF2B5EF4-FFF2-40B4-BE49-F238E27FC236}">
              <a16:creationId xmlns:a16="http://schemas.microsoft.com/office/drawing/2014/main" id="{DAEC289A-6AC9-4AD3-B894-87FB02EE3033}"/>
            </a:ext>
          </a:extLst>
        </xdr:cNvPr>
        <xdr:cNvPicPr>
          <a:picLocks noChangeAspect="1" noChangeArrowheads="1"/>
        </xdr:cNvPicPr>
      </xdr:nvPicPr>
      <xdr:blipFill>
        <a:blip xmlns:r="http://schemas.openxmlformats.org/officeDocument/2006/relationships" r:embed="rId9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18491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22</xdr:row>
      <xdr:rowOff>0</xdr:rowOff>
    </xdr:from>
    <xdr:to>
      <xdr:col>3</xdr:col>
      <xdr:colOff>758572</xdr:colOff>
      <xdr:row>22</xdr:row>
      <xdr:rowOff>637200</xdr:rowOff>
    </xdr:to>
    <xdr:pic>
      <xdr:nvPicPr>
        <xdr:cNvPr id="188" name="Picture 187" descr="Frost Witch Icon">
          <a:extLst>
            <a:ext uri="{FF2B5EF4-FFF2-40B4-BE49-F238E27FC236}">
              <a16:creationId xmlns:a16="http://schemas.microsoft.com/office/drawing/2014/main" id="{676E63DC-7F6F-4F93-9A8A-9C45A3146D50}"/>
            </a:ext>
          </a:extLst>
        </xdr:cNvPr>
        <xdr:cNvPicPr>
          <a:picLocks noChangeAspect="1" noChangeArrowheads="1"/>
        </xdr:cNvPicPr>
      </xdr:nvPicPr>
      <xdr:blipFill>
        <a:blip xmlns:r="http://schemas.openxmlformats.org/officeDocument/2006/relationships" r:embed="rId94">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3144500"/>
          <a:ext cx="758571"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xdr:row>
      <xdr:rowOff>0</xdr:rowOff>
    </xdr:from>
    <xdr:to>
      <xdr:col>3</xdr:col>
      <xdr:colOff>758572</xdr:colOff>
      <xdr:row>19</xdr:row>
      <xdr:rowOff>637200</xdr:rowOff>
    </xdr:to>
    <xdr:pic>
      <xdr:nvPicPr>
        <xdr:cNvPr id="189" name="Picture 188" descr="Dryad Icon">
          <a:extLst>
            <a:ext uri="{FF2B5EF4-FFF2-40B4-BE49-F238E27FC236}">
              <a16:creationId xmlns:a16="http://schemas.microsoft.com/office/drawing/2014/main" id="{5034DFA8-F037-4D08-9370-8D71E17DA60D}"/>
            </a:ext>
          </a:extLst>
        </xdr:cNvPr>
        <xdr:cNvPicPr>
          <a:picLocks noChangeAspect="1" noChangeArrowheads="1"/>
        </xdr:cNvPicPr>
      </xdr:nvPicPr>
      <xdr:blipFill>
        <a:blip xmlns:r="http://schemas.openxmlformats.org/officeDocument/2006/relationships" r:embed="rId9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1201400"/>
          <a:ext cx="758571"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33</xdr:row>
      <xdr:rowOff>0</xdr:rowOff>
    </xdr:from>
    <xdr:to>
      <xdr:col>3</xdr:col>
      <xdr:colOff>749648</xdr:colOff>
      <xdr:row>33</xdr:row>
      <xdr:rowOff>637200</xdr:rowOff>
    </xdr:to>
    <xdr:pic>
      <xdr:nvPicPr>
        <xdr:cNvPr id="190" name="Picture 189" descr="Marauder Icon">
          <a:extLst>
            <a:ext uri="{FF2B5EF4-FFF2-40B4-BE49-F238E27FC236}">
              <a16:creationId xmlns:a16="http://schemas.microsoft.com/office/drawing/2014/main" id="{9CD3EC53-FD55-427C-A58D-BA16C92F2480}"/>
            </a:ext>
          </a:extLst>
        </xdr:cNvPr>
        <xdr:cNvPicPr>
          <a:picLocks noChangeAspect="1" noChangeArrowheads="1"/>
        </xdr:cNvPicPr>
      </xdr:nvPicPr>
      <xdr:blipFill>
        <a:blip xmlns:r="http://schemas.openxmlformats.org/officeDocument/2006/relationships" r:embed="rId96">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02692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21</xdr:row>
      <xdr:rowOff>0</xdr:rowOff>
    </xdr:from>
    <xdr:to>
      <xdr:col>3</xdr:col>
      <xdr:colOff>749648</xdr:colOff>
      <xdr:row>21</xdr:row>
      <xdr:rowOff>637200</xdr:rowOff>
    </xdr:to>
    <xdr:pic>
      <xdr:nvPicPr>
        <xdr:cNvPr id="191" name="Picture 190" descr="Executioner Icon">
          <a:extLst>
            <a:ext uri="{FF2B5EF4-FFF2-40B4-BE49-F238E27FC236}">
              <a16:creationId xmlns:a16="http://schemas.microsoft.com/office/drawing/2014/main" id="{91DC241B-9273-4102-BD6E-13A12AF23F2D}"/>
            </a:ext>
          </a:extLst>
        </xdr:cNvPr>
        <xdr:cNvPicPr>
          <a:picLocks noChangeAspect="1" noChangeArrowheads="1"/>
        </xdr:cNvPicPr>
      </xdr:nvPicPr>
      <xdr:blipFill>
        <a:blip xmlns:r="http://schemas.openxmlformats.org/officeDocument/2006/relationships" r:embed="rId97">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2496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6</xdr:row>
      <xdr:rowOff>0</xdr:rowOff>
    </xdr:from>
    <xdr:to>
      <xdr:col>3</xdr:col>
      <xdr:colOff>749648</xdr:colOff>
      <xdr:row>6</xdr:row>
      <xdr:rowOff>637200</xdr:rowOff>
    </xdr:to>
    <xdr:pic>
      <xdr:nvPicPr>
        <xdr:cNvPr id="192" name="Picture 191" descr="Assassin Icon">
          <a:extLst>
            <a:ext uri="{FF2B5EF4-FFF2-40B4-BE49-F238E27FC236}">
              <a16:creationId xmlns:a16="http://schemas.microsoft.com/office/drawing/2014/main" id="{40A79A16-9D32-4523-A622-3C7D30819F0F}"/>
            </a:ext>
          </a:extLst>
        </xdr:cNvPr>
        <xdr:cNvPicPr>
          <a:picLocks noChangeAspect="1" noChangeArrowheads="1"/>
        </xdr:cNvPicPr>
      </xdr:nvPicPr>
      <xdr:blipFill>
        <a:blip xmlns:r="http://schemas.openxmlformats.org/officeDocument/2006/relationships" r:embed="rId98">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7813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62</xdr:row>
      <xdr:rowOff>0</xdr:rowOff>
    </xdr:from>
    <xdr:to>
      <xdr:col>3</xdr:col>
      <xdr:colOff>749648</xdr:colOff>
      <xdr:row>62</xdr:row>
      <xdr:rowOff>637200</xdr:rowOff>
    </xdr:to>
    <xdr:pic>
      <xdr:nvPicPr>
        <xdr:cNvPr id="193" name="Picture 192" descr="Werewolf Icon">
          <a:extLst>
            <a:ext uri="{FF2B5EF4-FFF2-40B4-BE49-F238E27FC236}">
              <a16:creationId xmlns:a16="http://schemas.microsoft.com/office/drawing/2014/main" id="{0FFCDA19-E820-40B9-A60B-C1AB357A263A}"/>
            </a:ext>
          </a:extLst>
        </xdr:cNvPr>
        <xdr:cNvPicPr>
          <a:picLocks noChangeAspect="1" noChangeArrowheads="1"/>
        </xdr:cNvPicPr>
      </xdr:nvPicPr>
      <xdr:blipFill>
        <a:blip xmlns:r="http://schemas.openxmlformats.org/officeDocument/2006/relationships" r:embed="rId99">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9052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12</xdr:row>
      <xdr:rowOff>0</xdr:rowOff>
    </xdr:from>
    <xdr:to>
      <xdr:col>3</xdr:col>
      <xdr:colOff>749648</xdr:colOff>
      <xdr:row>12</xdr:row>
      <xdr:rowOff>637200</xdr:rowOff>
    </xdr:to>
    <xdr:pic>
      <xdr:nvPicPr>
        <xdr:cNvPr id="194" name="Picture 193" descr="Cyclops Icon">
          <a:extLst>
            <a:ext uri="{FF2B5EF4-FFF2-40B4-BE49-F238E27FC236}">
              <a16:creationId xmlns:a16="http://schemas.microsoft.com/office/drawing/2014/main" id="{756C9464-95C6-4A03-8B62-9112B05D3C36}"/>
            </a:ext>
          </a:extLst>
        </xdr:cNvPr>
        <xdr:cNvPicPr>
          <a:picLocks noChangeAspect="1" noChangeArrowheads="1"/>
        </xdr:cNvPicPr>
      </xdr:nvPicPr>
      <xdr:blipFill>
        <a:blip xmlns:r="http://schemas.openxmlformats.org/officeDocument/2006/relationships" r:embed="rId100">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66675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41</xdr:row>
      <xdr:rowOff>0</xdr:rowOff>
    </xdr:from>
    <xdr:to>
      <xdr:col>3</xdr:col>
      <xdr:colOff>749648</xdr:colOff>
      <xdr:row>41</xdr:row>
      <xdr:rowOff>637200</xdr:rowOff>
    </xdr:to>
    <xdr:pic>
      <xdr:nvPicPr>
        <xdr:cNvPr id="195" name="Picture 194" descr="Pain-Da Icon">
          <a:extLst>
            <a:ext uri="{FF2B5EF4-FFF2-40B4-BE49-F238E27FC236}">
              <a16:creationId xmlns:a16="http://schemas.microsoft.com/office/drawing/2014/main" id="{B861DA62-9AE0-40CA-9FF1-B1FF3F99912F}"/>
            </a:ext>
          </a:extLst>
        </xdr:cNvPr>
        <xdr:cNvPicPr>
          <a:picLocks noChangeAspect="1" noChangeArrowheads="1"/>
        </xdr:cNvPicPr>
      </xdr:nvPicPr>
      <xdr:blipFill>
        <a:blip xmlns:r="http://schemas.openxmlformats.org/officeDocument/2006/relationships" r:embed="rId101">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54508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49</xdr:row>
      <xdr:rowOff>0</xdr:rowOff>
    </xdr:from>
    <xdr:to>
      <xdr:col>3</xdr:col>
      <xdr:colOff>749648</xdr:colOff>
      <xdr:row>49</xdr:row>
      <xdr:rowOff>637200</xdr:rowOff>
    </xdr:to>
    <xdr:pic>
      <xdr:nvPicPr>
        <xdr:cNvPr id="196" name="Picture 195" descr="Shaman Icon">
          <a:extLst>
            <a:ext uri="{FF2B5EF4-FFF2-40B4-BE49-F238E27FC236}">
              <a16:creationId xmlns:a16="http://schemas.microsoft.com/office/drawing/2014/main" id="{D471F4EA-B57B-4D11-9BC5-9C68A3BB6DDF}"/>
            </a:ext>
          </a:extLst>
        </xdr:cNvPr>
        <xdr:cNvPicPr>
          <a:picLocks noChangeAspect="1" noChangeArrowheads="1"/>
        </xdr:cNvPicPr>
      </xdr:nvPicPr>
      <xdr:blipFill>
        <a:blip xmlns:r="http://schemas.openxmlformats.org/officeDocument/2006/relationships" r:embed="rId102">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0632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48</xdr:row>
      <xdr:rowOff>0</xdr:rowOff>
    </xdr:from>
    <xdr:to>
      <xdr:col>3</xdr:col>
      <xdr:colOff>749648</xdr:colOff>
      <xdr:row>48</xdr:row>
      <xdr:rowOff>637200</xdr:rowOff>
    </xdr:to>
    <xdr:pic>
      <xdr:nvPicPr>
        <xdr:cNvPr id="197" name="Picture 196" descr="Serpent Queen Icon">
          <a:extLst>
            <a:ext uri="{FF2B5EF4-FFF2-40B4-BE49-F238E27FC236}">
              <a16:creationId xmlns:a16="http://schemas.microsoft.com/office/drawing/2014/main" id="{1AA4A169-7B11-471C-92C3-890AB5AD76F6}"/>
            </a:ext>
          </a:extLst>
        </xdr:cNvPr>
        <xdr:cNvPicPr>
          <a:picLocks noChangeAspect="1" noChangeArrowheads="1"/>
        </xdr:cNvPicPr>
      </xdr:nvPicPr>
      <xdr:blipFill>
        <a:blip xmlns:r="http://schemas.openxmlformats.org/officeDocument/2006/relationships" r:embed="rId103">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299847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29</xdr:row>
      <xdr:rowOff>0</xdr:rowOff>
    </xdr:from>
    <xdr:to>
      <xdr:col>3</xdr:col>
      <xdr:colOff>749648</xdr:colOff>
      <xdr:row>29</xdr:row>
      <xdr:rowOff>637200</xdr:rowOff>
    </xdr:to>
    <xdr:pic>
      <xdr:nvPicPr>
        <xdr:cNvPr id="198" name="Picture 197" descr="Ice Demon Icon">
          <a:extLst>
            <a:ext uri="{FF2B5EF4-FFF2-40B4-BE49-F238E27FC236}">
              <a16:creationId xmlns:a16="http://schemas.microsoft.com/office/drawing/2014/main" id="{E67573FA-6B6A-44AE-BE1E-AF276EA9E275}"/>
            </a:ext>
          </a:extLst>
        </xdr:cNvPr>
        <xdr:cNvPicPr>
          <a:picLocks noChangeAspect="1" noChangeArrowheads="1"/>
        </xdr:cNvPicPr>
      </xdr:nvPicPr>
      <xdr:blipFill>
        <a:blip xmlns:r="http://schemas.openxmlformats.org/officeDocument/2006/relationships" r:embed="rId104">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176784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57</xdr:row>
      <xdr:rowOff>0</xdr:rowOff>
    </xdr:from>
    <xdr:to>
      <xdr:col>3</xdr:col>
      <xdr:colOff>749648</xdr:colOff>
      <xdr:row>57</xdr:row>
      <xdr:rowOff>637200</xdr:rowOff>
    </xdr:to>
    <xdr:pic>
      <xdr:nvPicPr>
        <xdr:cNvPr id="199" name="Picture 198" descr="Triton Icon">
          <a:extLst>
            <a:ext uri="{FF2B5EF4-FFF2-40B4-BE49-F238E27FC236}">
              <a16:creationId xmlns:a16="http://schemas.microsoft.com/office/drawing/2014/main" id="{E6B19863-6E23-405F-8736-C7C6353BF6BD}"/>
            </a:ext>
          </a:extLst>
        </xdr:cNvPr>
        <xdr:cNvPicPr>
          <a:picLocks noChangeAspect="1" noChangeArrowheads="1"/>
        </xdr:cNvPicPr>
      </xdr:nvPicPr>
      <xdr:blipFill>
        <a:blip xmlns:r="http://schemas.openxmlformats.org/officeDocument/2006/relationships" r:embed="rId105">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743201" y="358140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763200</xdr:colOff>
      <xdr:row>4</xdr:row>
      <xdr:rowOff>1020</xdr:rowOff>
    </xdr:to>
    <xdr:pic>
      <xdr:nvPicPr>
        <xdr:cNvPr id="200" name="Picture 199" descr="Anubis Icon">
          <a:extLst>
            <a:ext uri="{FF2B5EF4-FFF2-40B4-BE49-F238E27FC236}">
              <a16:creationId xmlns:a16="http://schemas.microsoft.com/office/drawing/2014/main" id="{04A0A908-ED6D-40A9-8A81-FC8BBA16A0F5}"/>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381125" y="1485900"/>
          <a:ext cx="763200" cy="64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xdr:row>
      <xdr:rowOff>0</xdr:rowOff>
    </xdr:from>
    <xdr:to>
      <xdr:col>2</xdr:col>
      <xdr:colOff>749648</xdr:colOff>
      <xdr:row>3</xdr:row>
      <xdr:rowOff>637200</xdr:rowOff>
    </xdr:to>
    <xdr:pic>
      <xdr:nvPicPr>
        <xdr:cNvPr id="201" name="Picture 200" descr="Evolved Anubis Icon">
          <a:extLst>
            <a:ext uri="{FF2B5EF4-FFF2-40B4-BE49-F238E27FC236}">
              <a16:creationId xmlns:a16="http://schemas.microsoft.com/office/drawing/2014/main" id="{CB5227BD-F249-4441-8525-AEF210338344}"/>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152651" y="1485900"/>
          <a:ext cx="749647" cy="63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763200</xdr:colOff>
      <xdr:row>4</xdr:row>
      <xdr:rowOff>1020</xdr:rowOff>
    </xdr:to>
    <xdr:pic>
      <xdr:nvPicPr>
        <xdr:cNvPr id="202" name="Picture 201" descr="Anubis Icon">
          <a:extLst>
            <a:ext uri="{FF2B5EF4-FFF2-40B4-BE49-F238E27FC236}">
              <a16:creationId xmlns:a16="http://schemas.microsoft.com/office/drawing/2014/main" id="{24F0A0CA-0D68-4719-A79E-05E1C58257C3}"/>
            </a:ext>
          </a:extLst>
        </xdr:cNvPr>
        <xdr:cNvPicPr>
          <a:picLocks noChangeAspect="1" noChangeArrowheads="1"/>
        </xdr:cNvPicPr>
      </xdr:nvPicPr>
      <xdr:blipFill>
        <a:blip xmlns:r="http://schemas.openxmlformats.org/officeDocument/2006/relationships" r:embed="rId106">
          <a:duotone>
            <a:schemeClr val="bg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924175" y="1485900"/>
          <a:ext cx="763200" cy="64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9521</xdr:colOff>
      <xdr:row>33</xdr:row>
      <xdr:rowOff>9525</xdr:rowOff>
    </xdr:from>
    <xdr:ext cx="360000" cy="360000"/>
    <xdr:pic>
      <xdr:nvPicPr>
        <xdr:cNvPr id="2" name="Picture 1" descr="Skill Gear Up">
          <a:extLst>
            <a:ext uri="{FF2B5EF4-FFF2-40B4-BE49-F238E27FC236}">
              <a16:creationId xmlns:a16="http://schemas.microsoft.com/office/drawing/2014/main" id="{3531EE96-1318-4664-8803-4E4A97966E07}"/>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1" y="11420475"/>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xdr:row>
      <xdr:rowOff>361947</xdr:rowOff>
    </xdr:from>
    <xdr:ext cx="360000" cy="360000"/>
    <xdr:pic>
      <xdr:nvPicPr>
        <xdr:cNvPr id="32" name="Picture 31" descr="Skill Calamity">
          <a:extLst>
            <a:ext uri="{FF2B5EF4-FFF2-40B4-BE49-F238E27FC236}">
              <a16:creationId xmlns:a16="http://schemas.microsoft.com/office/drawing/2014/main" id="{7DBCDB5D-43A8-4D5B-83AE-3BA9839ACB3F}"/>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2763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361947</xdr:rowOff>
    </xdr:from>
    <xdr:ext cx="360000" cy="360000"/>
    <xdr:pic>
      <xdr:nvPicPr>
        <xdr:cNvPr id="35" name="Picture 34" descr="Skill Fireworks Bazooka">
          <a:extLst>
            <a:ext uri="{FF2B5EF4-FFF2-40B4-BE49-F238E27FC236}">
              <a16:creationId xmlns:a16="http://schemas.microsoft.com/office/drawing/2014/main" id="{329B3BD8-8F49-460A-A01C-0B51D1161EC2}"/>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64782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43</xdr:row>
      <xdr:rowOff>361947</xdr:rowOff>
    </xdr:from>
    <xdr:ext cx="360000" cy="360000"/>
    <xdr:pic>
      <xdr:nvPicPr>
        <xdr:cNvPr id="36" name="Picture 35" descr="Skill Petal Dance">
          <a:extLst>
            <a:ext uri="{FF2B5EF4-FFF2-40B4-BE49-F238E27FC236}">
              <a16:creationId xmlns:a16="http://schemas.microsoft.com/office/drawing/2014/main" id="{1D7FBE69-822B-44CC-B194-43132C54FFDD}"/>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53923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361947</xdr:rowOff>
    </xdr:from>
    <xdr:ext cx="360000" cy="360000"/>
    <xdr:pic>
      <xdr:nvPicPr>
        <xdr:cNvPr id="37" name="Picture 36" descr="Skill Meteor Slash">
          <a:extLst>
            <a:ext uri="{FF2B5EF4-FFF2-40B4-BE49-F238E27FC236}">
              <a16:creationId xmlns:a16="http://schemas.microsoft.com/office/drawing/2014/main" id="{0531695F-186A-4AA4-8024-01A9D25FF3D7}"/>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 y="41719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361947</xdr:rowOff>
    </xdr:from>
    <xdr:ext cx="360000" cy="360000"/>
    <xdr:pic>
      <xdr:nvPicPr>
        <xdr:cNvPr id="38" name="Picture 37" descr="Skill Fire Shield">
          <a:extLst>
            <a:ext uri="{FF2B5EF4-FFF2-40B4-BE49-F238E27FC236}">
              <a16:creationId xmlns:a16="http://schemas.microsoft.com/office/drawing/2014/main" id="{5CAEDE51-74AC-439E-ACFD-E3DFB2B3E6FD}"/>
            </a:ext>
          </a:extLst>
        </xdr:cNvPr>
        <xdr:cNvPicPr>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00150" y="215455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361947</xdr:rowOff>
    </xdr:from>
    <xdr:ext cx="360000" cy="360000"/>
    <xdr:pic>
      <xdr:nvPicPr>
        <xdr:cNvPr id="39" name="Picture 38" descr="Skill Battle Hymn">
          <a:extLst>
            <a:ext uri="{FF2B5EF4-FFF2-40B4-BE49-F238E27FC236}">
              <a16:creationId xmlns:a16="http://schemas.microsoft.com/office/drawing/2014/main" id="{0D75E516-9A11-4B8B-B95B-DF94531C43C8}"/>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0150" y="197357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361947</xdr:rowOff>
    </xdr:from>
    <xdr:ext cx="360000" cy="360000"/>
    <xdr:pic>
      <xdr:nvPicPr>
        <xdr:cNvPr id="40" name="Picture 39" descr="Skill Plume Blast">
          <a:extLst>
            <a:ext uri="{FF2B5EF4-FFF2-40B4-BE49-F238E27FC236}">
              <a16:creationId xmlns:a16="http://schemas.microsoft.com/office/drawing/2014/main" id="{5257A15D-0B59-44A9-AC53-44DAF9CDA6C3}"/>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00150" y="88772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50</xdr:row>
      <xdr:rowOff>361947</xdr:rowOff>
    </xdr:from>
    <xdr:ext cx="360000" cy="360000"/>
    <xdr:pic>
      <xdr:nvPicPr>
        <xdr:cNvPr id="41" name="Picture 40" descr="Skill Vengeful Sword">
          <a:extLst>
            <a:ext uri="{FF2B5EF4-FFF2-40B4-BE49-F238E27FC236}">
              <a16:creationId xmlns:a16="http://schemas.microsoft.com/office/drawing/2014/main" id="{51B052B4-93B3-41CA-9041-AE95201CC08A}"/>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00150" y="179260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16</xdr:row>
      <xdr:rowOff>361947</xdr:rowOff>
    </xdr:from>
    <xdr:ext cx="360000" cy="360000"/>
    <xdr:pic>
      <xdr:nvPicPr>
        <xdr:cNvPr id="42" name="Picture 41" descr="Skill Cannon Blast">
          <a:extLst>
            <a:ext uri="{FF2B5EF4-FFF2-40B4-BE49-F238E27FC236}">
              <a16:creationId xmlns:a16="http://schemas.microsoft.com/office/drawing/2014/main" id="{015C7D1A-5C74-426A-8D43-8C5C26024192}"/>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00150" y="56197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xdr:row>
      <xdr:rowOff>361947</xdr:rowOff>
    </xdr:from>
    <xdr:ext cx="360000" cy="360000"/>
    <xdr:pic>
      <xdr:nvPicPr>
        <xdr:cNvPr id="43" name="Picture 42" descr="Skill Spirit Summon">
          <a:extLst>
            <a:ext uri="{FF2B5EF4-FFF2-40B4-BE49-F238E27FC236}">
              <a16:creationId xmlns:a16="http://schemas.microsoft.com/office/drawing/2014/main" id="{0ECC9892-5D2A-4B29-B4B7-239DAEFD16A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00150" y="77914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361947</xdr:rowOff>
    </xdr:from>
    <xdr:ext cx="360000" cy="360000"/>
    <xdr:pic>
      <xdr:nvPicPr>
        <xdr:cNvPr id="44" name="Picture 43" descr="Skill Sweet Revenge">
          <a:extLst>
            <a:ext uri="{FF2B5EF4-FFF2-40B4-BE49-F238E27FC236}">
              <a16:creationId xmlns:a16="http://schemas.microsoft.com/office/drawing/2014/main" id="{8A56DED9-BE64-46AE-8D94-7E920C43F487}"/>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00150" y="27241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58</xdr:row>
      <xdr:rowOff>361947</xdr:rowOff>
    </xdr:from>
    <xdr:ext cx="360000" cy="360000"/>
    <xdr:pic>
      <xdr:nvPicPr>
        <xdr:cNvPr id="45" name="Picture 44" descr="Skill Love Cyclone">
          <a:extLst>
            <a:ext uri="{FF2B5EF4-FFF2-40B4-BE49-F238E27FC236}">
              <a16:creationId xmlns:a16="http://schemas.microsoft.com/office/drawing/2014/main" id="{879404B2-EEB4-478A-AF41-49E88B7FC658}"/>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00150" y="208216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361947</xdr:rowOff>
    </xdr:from>
    <xdr:ext cx="360000" cy="360000"/>
    <xdr:pic>
      <xdr:nvPicPr>
        <xdr:cNvPr id="46" name="Picture 45" descr="Skill Deafening Roar">
          <a:extLst>
            <a:ext uri="{FF2B5EF4-FFF2-40B4-BE49-F238E27FC236}">
              <a16:creationId xmlns:a16="http://schemas.microsoft.com/office/drawing/2014/main" id="{C3FE791B-4B78-4B6C-8CC5-77FEC9BE6E4C}"/>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00150" y="23621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361947</xdr:rowOff>
    </xdr:from>
    <xdr:ext cx="360000" cy="360000"/>
    <xdr:pic>
      <xdr:nvPicPr>
        <xdr:cNvPr id="47" name="Picture 46" descr="Skill Judgment">
          <a:extLst>
            <a:ext uri="{FF2B5EF4-FFF2-40B4-BE49-F238E27FC236}">
              <a16:creationId xmlns:a16="http://schemas.microsoft.com/office/drawing/2014/main" id="{B902F205-DCB4-4C28-B369-0B78E4CEE36E}"/>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00150" y="106870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361947</xdr:rowOff>
    </xdr:from>
    <xdr:ext cx="360000" cy="360000"/>
    <xdr:pic>
      <xdr:nvPicPr>
        <xdr:cNvPr id="48" name="Picture 47" descr="Skill Possession">
          <a:extLst>
            <a:ext uri="{FF2B5EF4-FFF2-40B4-BE49-F238E27FC236}">
              <a16:creationId xmlns:a16="http://schemas.microsoft.com/office/drawing/2014/main" id="{DC998308-2F24-4F7D-A38F-BC80855D9A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00150" y="81533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52</xdr:row>
      <xdr:rowOff>361947</xdr:rowOff>
    </xdr:from>
    <xdr:ext cx="360000" cy="360000"/>
    <xdr:pic>
      <xdr:nvPicPr>
        <xdr:cNvPr id="49" name="Picture 48" descr="Skill Magic Missile">
          <a:extLst>
            <a:ext uri="{FF2B5EF4-FFF2-40B4-BE49-F238E27FC236}">
              <a16:creationId xmlns:a16="http://schemas.microsoft.com/office/drawing/2014/main" id="{FE79FE70-2C54-481E-97A5-DAAF1FCDBB05}"/>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00150" y="186499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36</xdr:row>
      <xdr:rowOff>361947</xdr:rowOff>
    </xdr:from>
    <xdr:ext cx="360000" cy="360000"/>
    <xdr:pic>
      <xdr:nvPicPr>
        <xdr:cNvPr id="50" name="Picture 49" descr="Skill Body Slam">
          <a:extLst>
            <a:ext uri="{FF2B5EF4-FFF2-40B4-BE49-F238E27FC236}">
              <a16:creationId xmlns:a16="http://schemas.microsoft.com/office/drawing/2014/main" id="{4CA017E2-D03C-45F2-9A19-3AEE626273D8}"/>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00150" y="128587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361947</xdr:rowOff>
    </xdr:from>
    <xdr:ext cx="360000" cy="360000"/>
    <xdr:pic>
      <xdr:nvPicPr>
        <xdr:cNvPr id="51" name="Picture 50" descr="Skill Devastation">
          <a:extLst>
            <a:ext uri="{FF2B5EF4-FFF2-40B4-BE49-F238E27FC236}">
              <a16:creationId xmlns:a16="http://schemas.microsoft.com/office/drawing/2014/main" id="{ACF8E9A7-5D8C-4279-9CEF-CF434459FD0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00150" y="48958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37</xdr:row>
      <xdr:rowOff>361947</xdr:rowOff>
    </xdr:from>
    <xdr:ext cx="360000" cy="360000"/>
    <xdr:pic>
      <xdr:nvPicPr>
        <xdr:cNvPr id="52" name="Picture 51" descr="Skill Fiery Breath">
          <a:extLst>
            <a:ext uri="{FF2B5EF4-FFF2-40B4-BE49-F238E27FC236}">
              <a16:creationId xmlns:a16="http://schemas.microsoft.com/office/drawing/2014/main" id="{384BC726-6D86-4F4B-8E6C-DEE0595E8CBC}"/>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00150" y="132206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361947</xdr:rowOff>
    </xdr:from>
    <xdr:ext cx="360000" cy="360000"/>
    <xdr:pic>
      <xdr:nvPicPr>
        <xdr:cNvPr id="54" name="Picture 53" descr="Skill Whirling Ax">
          <a:extLst>
            <a:ext uri="{FF2B5EF4-FFF2-40B4-BE49-F238E27FC236}">
              <a16:creationId xmlns:a16="http://schemas.microsoft.com/office/drawing/2014/main" id="{24D6ED48-1081-45DC-9298-05FB8E3513D3}"/>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00150" y="52577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34</xdr:row>
      <xdr:rowOff>361947</xdr:rowOff>
    </xdr:from>
    <xdr:ext cx="360000" cy="360000"/>
    <xdr:pic>
      <xdr:nvPicPr>
        <xdr:cNvPr id="55" name="Picture 54" descr="Skill Twin Hex">
          <a:extLst>
            <a:ext uri="{FF2B5EF4-FFF2-40B4-BE49-F238E27FC236}">
              <a16:creationId xmlns:a16="http://schemas.microsoft.com/office/drawing/2014/main" id="{D4D7B514-9D70-4A55-99B6-AC09F601ACFF}"/>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00150" y="121348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361947</xdr:rowOff>
    </xdr:from>
    <xdr:ext cx="360000" cy="360000"/>
    <xdr:pic>
      <xdr:nvPicPr>
        <xdr:cNvPr id="56" name="Picture 55" descr="Skill High Voltage">
          <a:extLst>
            <a:ext uri="{FF2B5EF4-FFF2-40B4-BE49-F238E27FC236}">
              <a16:creationId xmlns:a16="http://schemas.microsoft.com/office/drawing/2014/main" id="{9C906BD4-C83E-42B3-87E8-DE0BCD1F70EF}"/>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00150" y="45338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361947</xdr:rowOff>
    </xdr:from>
    <xdr:ext cx="360000" cy="360000"/>
    <xdr:pic>
      <xdr:nvPicPr>
        <xdr:cNvPr id="57" name="Picture 56" descr="Skill Dirty Tricks">
          <a:extLst>
            <a:ext uri="{FF2B5EF4-FFF2-40B4-BE49-F238E27FC236}">
              <a16:creationId xmlns:a16="http://schemas.microsoft.com/office/drawing/2014/main" id="{1B73C44F-2D0F-40F7-B02C-20727FF72645}"/>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00150" y="204596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361947</xdr:rowOff>
    </xdr:from>
    <xdr:ext cx="360000" cy="360000"/>
    <xdr:pic>
      <xdr:nvPicPr>
        <xdr:cNvPr id="58" name="Picture 57" descr="Skill Double Trouble">
          <a:extLst>
            <a:ext uri="{FF2B5EF4-FFF2-40B4-BE49-F238E27FC236}">
              <a16:creationId xmlns:a16="http://schemas.microsoft.com/office/drawing/2014/main" id="{5E42E99E-DDE0-407E-B527-3A16518A46BF}"/>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00150" y="161162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31</xdr:row>
      <xdr:rowOff>361947</xdr:rowOff>
    </xdr:from>
    <xdr:ext cx="360000" cy="360000"/>
    <xdr:pic>
      <xdr:nvPicPr>
        <xdr:cNvPr id="59" name="Picture 58" descr="Skill Ring-a-Ling">
          <a:extLst>
            <a:ext uri="{FF2B5EF4-FFF2-40B4-BE49-F238E27FC236}">
              <a16:creationId xmlns:a16="http://schemas.microsoft.com/office/drawing/2014/main" id="{AD72C0FE-8FB6-4319-8096-227757FDC190}"/>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00150" y="110489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35</xdr:row>
      <xdr:rowOff>361947</xdr:rowOff>
    </xdr:from>
    <xdr:ext cx="360000" cy="360000"/>
    <xdr:pic>
      <xdr:nvPicPr>
        <xdr:cNvPr id="60" name="Picture 59" descr="Skill Divinity">
          <a:extLst>
            <a:ext uri="{FF2B5EF4-FFF2-40B4-BE49-F238E27FC236}">
              <a16:creationId xmlns:a16="http://schemas.microsoft.com/office/drawing/2014/main" id="{24D2BF34-B5FF-42D0-8A76-06635AD1175A}"/>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00150" y="124967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26</xdr:row>
      <xdr:rowOff>361947</xdr:rowOff>
    </xdr:from>
    <xdr:ext cx="360000" cy="360000"/>
    <xdr:pic>
      <xdr:nvPicPr>
        <xdr:cNvPr id="61" name="Picture 60" descr="Skill Heart Attack">
          <a:extLst>
            <a:ext uri="{FF2B5EF4-FFF2-40B4-BE49-F238E27FC236}">
              <a16:creationId xmlns:a16="http://schemas.microsoft.com/office/drawing/2014/main" id="{0B5A8B1B-D335-442F-846C-4823FB1E58DE}"/>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00150" y="92392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44</xdr:row>
      <xdr:rowOff>361947</xdr:rowOff>
    </xdr:from>
    <xdr:ext cx="360000" cy="360000"/>
    <xdr:pic>
      <xdr:nvPicPr>
        <xdr:cNvPr id="62" name="Picture 61" descr="Skill Celebrate">
          <a:extLst>
            <a:ext uri="{FF2B5EF4-FFF2-40B4-BE49-F238E27FC236}">
              <a16:creationId xmlns:a16="http://schemas.microsoft.com/office/drawing/2014/main" id="{1CDF3CCA-81ED-448A-A32B-F75EA5BEAED6}"/>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00150" y="157543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xdr:row>
      <xdr:rowOff>0</xdr:rowOff>
    </xdr:from>
    <xdr:ext cx="360000" cy="360000"/>
    <xdr:pic>
      <xdr:nvPicPr>
        <xdr:cNvPr id="63" name="Picture 62" descr="Skill Alchemy Hurl">
          <a:extLst>
            <a:ext uri="{FF2B5EF4-FFF2-40B4-BE49-F238E27FC236}">
              <a16:creationId xmlns:a16="http://schemas.microsoft.com/office/drawing/2014/main" id="{4784A8EE-A9FD-42F9-8CE7-813AE7AE9931}"/>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81125" y="190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xdr:row>
      <xdr:rowOff>0</xdr:rowOff>
    </xdr:from>
    <xdr:ext cx="360000" cy="360000"/>
    <xdr:pic>
      <xdr:nvPicPr>
        <xdr:cNvPr id="64" name="Picture 63" descr="Skill Heal">
          <a:extLst>
            <a:ext uri="{FF2B5EF4-FFF2-40B4-BE49-F238E27FC236}">
              <a16:creationId xmlns:a16="http://schemas.microsoft.com/office/drawing/2014/main" id="{B1D4F7AD-D7CC-47BE-9B28-691D0C681DA6}"/>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381125" y="5524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xdr:row>
      <xdr:rowOff>0</xdr:rowOff>
    </xdr:from>
    <xdr:ext cx="360000" cy="360000"/>
    <xdr:pic>
      <xdr:nvPicPr>
        <xdr:cNvPr id="65" name="Picture 64" descr="Skill Assassinate">
          <a:extLst>
            <a:ext uri="{FF2B5EF4-FFF2-40B4-BE49-F238E27FC236}">
              <a16:creationId xmlns:a16="http://schemas.microsoft.com/office/drawing/2014/main" id="{7B830DED-4B79-4E75-B91C-E3F857E4A040}"/>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381125" y="16383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360000" cy="360000"/>
    <xdr:pic>
      <xdr:nvPicPr>
        <xdr:cNvPr id="66" name="Picture 65" descr="Skill Spectacular Scales">
          <a:extLst>
            <a:ext uri="{FF2B5EF4-FFF2-40B4-BE49-F238E27FC236}">
              <a16:creationId xmlns:a16="http://schemas.microsoft.com/office/drawing/2014/main" id="{F37F7EE8-010D-4061-9F98-BCD5DCF68D90}"/>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381125" y="20002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xdr:row>
      <xdr:rowOff>0</xdr:rowOff>
    </xdr:from>
    <xdr:ext cx="360000" cy="360000"/>
    <xdr:pic>
      <xdr:nvPicPr>
        <xdr:cNvPr id="67" name="Picture 66" descr="Skill Storm Hammer">
          <a:extLst>
            <a:ext uri="{FF2B5EF4-FFF2-40B4-BE49-F238E27FC236}">
              <a16:creationId xmlns:a16="http://schemas.microsoft.com/office/drawing/2014/main" id="{6B7498ED-6CA6-4757-B30A-F5F10C4BF508}"/>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381125" y="30861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360000" cy="360000"/>
    <xdr:pic>
      <xdr:nvPicPr>
        <xdr:cNvPr id="68" name="Picture 67" descr="Skill Cupid’s Arrow">
          <a:extLst>
            <a:ext uri="{FF2B5EF4-FFF2-40B4-BE49-F238E27FC236}">
              <a16:creationId xmlns:a16="http://schemas.microsoft.com/office/drawing/2014/main" id="{AF0FB37E-31AF-4D81-82D1-421E721BB5DA}"/>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381125" y="34480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360000" cy="360000"/>
    <xdr:pic>
      <xdr:nvPicPr>
        <xdr:cNvPr id="69" name="Picture 68" descr="Skill Shockwave">
          <a:extLst>
            <a:ext uri="{FF2B5EF4-FFF2-40B4-BE49-F238E27FC236}">
              <a16:creationId xmlns:a16="http://schemas.microsoft.com/office/drawing/2014/main" id="{6FBA7BFD-DE20-4635-9B65-1D8C3C5A29BF}"/>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381125" y="38100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18</xdr:row>
      <xdr:rowOff>0</xdr:rowOff>
    </xdr:from>
    <xdr:ext cx="360000" cy="360000"/>
    <xdr:pic>
      <xdr:nvPicPr>
        <xdr:cNvPr id="70" name="Picture 69" descr="Skill Energetic">
          <a:extLst>
            <a:ext uri="{FF2B5EF4-FFF2-40B4-BE49-F238E27FC236}">
              <a16:creationId xmlns:a16="http://schemas.microsoft.com/office/drawing/2014/main" id="{D4FD4DB6-EC22-4254-89A6-F5C9A85F793E}"/>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381125" y="59817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360000" cy="360000"/>
    <xdr:pic>
      <xdr:nvPicPr>
        <xdr:cNvPr id="71" name="Picture 70" descr="Skill Shackle">
          <a:extLst>
            <a:ext uri="{FF2B5EF4-FFF2-40B4-BE49-F238E27FC236}">
              <a16:creationId xmlns:a16="http://schemas.microsoft.com/office/drawing/2014/main" id="{7F570061-274C-4377-8E26-790DD2C43DDC}"/>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381125" y="63436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360000" cy="360000"/>
    <xdr:pic>
      <xdr:nvPicPr>
        <xdr:cNvPr id="72" name="Picture 71" descr="Skill Lava Burst">
          <a:extLst>
            <a:ext uri="{FF2B5EF4-FFF2-40B4-BE49-F238E27FC236}">
              <a16:creationId xmlns:a16="http://schemas.microsoft.com/office/drawing/2014/main" id="{38886495-66DC-4D59-B32D-97ECA4468BE4}"/>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381125" y="67056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21</xdr:row>
      <xdr:rowOff>0</xdr:rowOff>
    </xdr:from>
    <xdr:ext cx="360000" cy="360000"/>
    <xdr:pic>
      <xdr:nvPicPr>
        <xdr:cNvPr id="73" name="Picture 72" descr="Skill Tremor">
          <a:extLst>
            <a:ext uri="{FF2B5EF4-FFF2-40B4-BE49-F238E27FC236}">
              <a16:creationId xmlns:a16="http://schemas.microsoft.com/office/drawing/2014/main" id="{C2DC856E-4E9F-4048-8676-5BE0554E6F36}"/>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381125" y="70675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22</xdr:row>
      <xdr:rowOff>0</xdr:rowOff>
    </xdr:from>
    <xdr:ext cx="360000" cy="360000"/>
    <xdr:pic>
      <xdr:nvPicPr>
        <xdr:cNvPr id="74" name="Picture 73" descr="Skill Icy Thrust">
          <a:extLst>
            <a:ext uri="{FF2B5EF4-FFF2-40B4-BE49-F238E27FC236}">
              <a16:creationId xmlns:a16="http://schemas.microsoft.com/office/drawing/2014/main" id="{B56E28C8-5629-4C97-8331-D04B4418A8FD}"/>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381125" y="7429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360000" cy="360000"/>
    <xdr:pic>
      <xdr:nvPicPr>
        <xdr:cNvPr id="75" name="Picture 74" descr="Skill Soul Harvest">
          <a:extLst>
            <a:ext uri="{FF2B5EF4-FFF2-40B4-BE49-F238E27FC236}">
              <a16:creationId xmlns:a16="http://schemas.microsoft.com/office/drawing/2014/main" id="{10FFD162-8CB0-4ADD-9877-041843C6969D}"/>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381125" y="85153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28</xdr:row>
      <xdr:rowOff>0</xdr:rowOff>
    </xdr:from>
    <xdr:ext cx="360000" cy="360000"/>
    <xdr:pic>
      <xdr:nvPicPr>
        <xdr:cNvPr id="76" name="Picture 75" descr="Skill Rock Throw">
          <a:extLst>
            <a:ext uri="{FF2B5EF4-FFF2-40B4-BE49-F238E27FC236}">
              <a16:creationId xmlns:a16="http://schemas.microsoft.com/office/drawing/2014/main" id="{7C789008-54A7-4563-8784-251C386AC3FF}"/>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381125" y="96012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360000" cy="360000"/>
    <xdr:pic>
      <xdr:nvPicPr>
        <xdr:cNvPr id="77" name="Picture 76" descr="Skill Icefog">
          <a:extLst>
            <a:ext uri="{FF2B5EF4-FFF2-40B4-BE49-F238E27FC236}">
              <a16:creationId xmlns:a16="http://schemas.microsoft.com/office/drawing/2014/main" id="{F4804F1D-C895-45ED-8AEA-33222E755370}"/>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381125" y="99631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360000" cy="360000"/>
    <xdr:pic>
      <xdr:nvPicPr>
        <xdr:cNvPr id="78" name="Picture 77" descr="Skill Storm of Seth">
          <a:extLst>
            <a:ext uri="{FF2B5EF4-FFF2-40B4-BE49-F238E27FC236}">
              <a16:creationId xmlns:a16="http://schemas.microsoft.com/office/drawing/2014/main" id="{7E99A3DE-A14A-4C90-A4B0-2E7522BB78DB}"/>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381125" y="103251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34</xdr:row>
      <xdr:rowOff>0</xdr:rowOff>
    </xdr:from>
    <xdr:ext cx="360000" cy="360000"/>
    <xdr:pic>
      <xdr:nvPicPr>
        <xdr:cNvPr id="79" name="Picture 78" descr="Skill Splitting Arrows">
          <a:extLst>
            <a:ext uri="{FF2B5EF4-FFF2-40B4-BE49-F238E27FC236}">
              <a16:creationId xmlns:a16="http://schemas.microsoft.com/office/drawing/2014/main" id="{213AAA14-7E11-4F6A-92D6-2F86B6F1A00E}"/>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381125" y="117729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360000" cy="360000"/>
    <xdr:pic>
      <xdr:nvPicPr>
        <xdr:cNvPr id="80" name="Picture 79" descr="Skill Slash">
          <a:extLst>
            <a:ext uri="{FF2B5EF4-FFF2-40B4-BE49-F238E27FC236}">
              <a16:creationId xmlns:a16="http://schemas.microsoft.com/office/drawing/2014/main" id="{6993B6A2-BCC5-48CC-8376-7AA6091D39A0}"/>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381125" y="135826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360000" cy="360000"/>
    <xdr:pic>
      <xdr:nvPicPr>
        <xdr:cNvPr id="81" name="Picture 80" descr="Skill Savage Swing">
          <a:extLst>
            <a:ext uri="{FF2B5EF4-FFF2-40B4-BE49-F238E27FC236}">
              <a16:creationId xmlns:a16="http://schemas.microsoft.com/office/drawing/2014/main" id="{B6CB00BD-6A8E-4B14-AB40-8C9A4269A770}"/>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381125" y="139446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42</xdr:row>
      <xdr:rowOff>0</xdr:rowOff>
    </xdr:from>
    <xdr:ext cx="360000" cy="360000"/>
    <xdr:pic>
      <xdr:nvPicPr>
        <xdr:cNvPr id="82" name="Picture 81" descr="Skill Divine Shield">
          <a:extLst>
            <a:ext uri="{FF2B5EF4-FFF2-40B4-BE49-F238E27FC236}">
              <a16:creationId xmlns:a16="http://schemas.microsoft.com/office/drawing/2014/main" id="{CAF57488-D2EB-4DBB-A866-CC2E449C84EC}"/>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381125" y="14668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360000" cy="360000"/>
    <xdr:pic>
      <xdr:nvPicPr>
        <xdr:cNvPr id="83" name="Picture 82" descr="Skill Lightning">
          <a:extLst>
            <a:ext uri="{FF2B5EF4-FFF2-40B4-BE49-F238E27FC236}">
              <a16:creationId xmlns:a16="http://schemas.microsoft.com/office/drawing/2014/main" id="{5F40F45D-7CBE-4F32-B233-F28DBE3026C5}"/>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381125" y="143065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43</xdr:row>
      <xdr:rowOff>0</xdr:rowOff>
    </xdr:from>
    <xdr:ext cx="360000" cy="360000"/>
    <xdr:pic>
      <xdr:nvPicPr>
        <xdr:cNvPr id="84" name="Picture 83" descr="Skill Soul Crush">
          <a:extLst>
            <a:ext uri="{FF2B5EF4-FFF2-40B4-BE49-F238E27FC236}">
              <a16:creationId xmlns:a16="http://schemas.microsoft.com/office/drawing/2014/main" id="{9B84498E-5B84-4304-8125-F95DA06F7226}"/>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381125" y="150304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360000" cy="360000"/>
    <xdr:pic>
      <xdr:nvPicPr>
        <xdr:cNvPr id="85" name="Picture 84" descr="Skill Toxic Mist">
          <a:extLst>
            <a:ext uri="{FF2B5EF4-FFF2-40B4-BE49-F238E27FC236}">
              <a16:creationId xmlns:a16="http://schemas.microsoft.com/office/drawing/2014/main" id="{AE2EE9C0-37A9-4C30-928A-83FEF29B0A43}"/>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381125" y="168402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360000" cy="360000"/>
    <xdr:pic>
      <xdr:nvPicPr>
        <xdr:cNvPr id="86" name="Picture 85" descr="Skill Curse">
          <a:extLst>
            <a:ext uri="{FF2B5EF4-FFF2-40B4-BE49-F238E27FC236}">
              <a16:creationId xmlns:a16="http://schemas.microsoft.com/office/drawing/2014/main" id="{33C665CD-14B5-4828-9FCC-A4EC61D9FE49}"/>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381125" y="172021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50</xdr:row>
      <xdr:rowOff>0</xdr:rowOff>
    </xdr:from>
    <xdr:ext cx="360000" cy="360000"/>
    <xdr:pic>
      <xdr:nvPicPr>
        <xdr:cNvPr id="87" name="Picture 86" descr="Skill lightning">
          <a:extLst>
            <a:ext uri="{FF2B5EF4-FFF2-40B4-BE49-F238E27FC236}">
              <a16:creationId xmlns:a16="http://schemas.microsoft.com/office/drawing/2014/main" id="{D263F4EA-E13E-40C9-A433-97C466D82952}"/>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381125" y="175641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52</xdr:row>
      <xdr:rowOff>0</xdr:rowOff>
    </xdr:from>
    <xdr:ext cx="360000" cy="360000"/>
    <xdr:pic>
      <xdr:nvPicPr>
        <xdr:cNvPr id="88" name="Picture 87" descr="Skill Snowball Fight">
          <a:extLst>
            <a:ext uri="{FF2B5EF4-FFF2-40B4-BE49-F238E27FC236}">
              <a16:creationId xmlns:a16="http://schemas.microsoft.com/office/drawing/2014/main" id="{301D5CF3-95C0-4F00-8116-69B8DD1ECD10}"/>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381125" y="182880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360000" cy="360000"/>
    <xdr:pic>
      <xdr:nvPicPr>
        <xdr:cNvPr id="89" name="Picture 88" descr="Skill Death’s Lash">
          <a:extLst>
            <a:ext uri="{FF2B5EF4-FFF2-40B4-BE49-F238E27FC236}">
              <a16:creationId xmlns:a16="http://schemas.microsoft.com/office/drawing/2014/main" id="{25BCA17A-6F8B-4292-A5BC-FC432E5E43E2}"/>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381125" y="190119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360000" cy="360000"/>
    <xdr:pic>
      <xdr:nvPicPr>
        <xdr:cNvPr id="90" name="Picture 89" descr="Skill Thunderstorm">
          <a:extLst>
            <a:ext uri="{FF2B5EF4-FFF2-40B4-BE49-F238E27FC236}">
              <a16:creationId xmlns:a16="http://schemas.microsoft.com/office/drawing/2014/main" id="{9F98FD95-FB04-4A45-8F84-A3E8C56E5B91}"/>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381125" y="193738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360000" cy="360000"/>
    <xdr:pic>
      <xdr:nvPicPr>
        <xdr:cNvPr id="92" name="Picture 91" descr="Skill Atlantic Doom">
          <a:extLst>
            <a:ext uri="{FF2B5EF4-FFF2-40B4-BE49-F238E27FC236}">
              <a16:creationId xmlns:a16="http://schemas.microsoft.com/office/drawing/2014/main" id="{C81A2076-DFEE-4A81-9BD5-D1683D152FF1}"/>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381125" y="200977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360000" cy="360000"/>
    <xdr:pic>
      <xdr:nvPicPr>
        <xdr:cNvPr id="93" name="Picture 92" descr="Skill Blood Banquet">
          <a:extLst>
            <a:ext uri="{FF2B5EF4-FFF2-40B4-BE49-F238E27FC236}">
              <a16:creationId xmlns:a16="http://schemas.microsoft.com/office/drawing/2014/main" id="{CC8F26E2-FA80-4755-9612-D09F97F23E67}"/>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81125" y="211836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62</xdr:row>
      <xdr:rowOff>0</xdr:rowOff>
    </xdr:from>
    <xdr:ext cx="360000" cy="360000"/>
    <xdr:pic>
      <xdr:nvPicPr>
        <xdr:cNvPr id="94" name="Picture 93" descr="Skill Rage">
          <a:extLst>
            <a:ext uri="{FF2B5EF4-FFF2-40B4-BE49-F238E27FC236}">
              <a16:creationId xmlns:a16="http://schemas.microsoft.com/office/drawing/2014/main" id="{DC856868-4AAE-4EF9-9215-52BF833D93D1}"/>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381125" y="21907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xdr:row>
      <xdr:rowOff>0</xdr:rowOff>
    </xdr:from>
    <xdr:ext cx="360000" cy="360000"/>
    <xdr:pic>
      <xdr:nvPicPr>
        <xdr:cNvPr id="95" name="Picture 94" descr="Skill Frost Breath">
          <a:extLst>
            <a:ext uri="{FF2B5EF4-FFF2-40B4-BE49-F238E27FC236}">
              <a16:creationId xmlns:a16="http://schemas.microsoft.com/office/drawing/2014/main" id="{7E3CD039-C496-4EB8-A7F7-8DF46EF10E72}"/>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81125" y="12763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xdr:row>
      <xdr:rowOff>0</xdr:rowOff>
    </xdr:from>
    <xdr:to>
      <xdr:col>1</xdr:col>
      <xdr:colOff>360000</xdr:colOff>
      <xdr:row>3</xdr:row>
      <xdr:rowOff>360000</xdr:rowOff>
    </xdr:to>
    <xdr:pic>
      <xdr:nvPicPr>
        <xdr:cNvPr id="96" name="Picture 95" descr="Skill Anubis">
          <a:extLst>
            <a:ext uri="{FF2B5EF4-FFF2-40B4-BE49-F238E27FC236}">
              <a16:creationId xmlns:a16="http://schemas.microsoft.com/office/drawing/2014/main" id="{BF90ADDA-9E8F-4BB1-8855-0C9144868EAA}"/>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381125" y="9144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12</xdr:row>
      <xdr:rowOff>361947</xdr:rowOff>
    </xdr:from>
    <xdr:to>
      <xdr:col>1</xdr:col>
      <xdr:colOff>360515</xdr:colOff>
      <xdr:row>14</xdr:row>
      <xdr:rowOff>7572</xdr:rowOff>
    </xdr:to>
    <xdr:pic>
      <xdr:nvPicPr>
        <xdr:cNvPr id="90" name="Picture 89" descr="Talent Revive">
          <a:extLst>
            <a:ext uri="{FF2B5EF4-FFF2-40B4-BE49-F238E27FC236}">
              <a16:creationId xmlns:a16="http://schemas.microsoft.com/office/drawing/2014/main" id="{D74850D4-443B-4B12-86BD-5FCADC53B8DF}"/>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5338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361947</xdr:rowOff>
    </xdr:from>
    <xdr:to>
      <xdr:col>1</xdr:col>
      <xdr:colOff>360515</xdr:colOff>
      <xdr:row>15</xdr:row>
      <xdr:rowOff>7572</xdr:rowOff>
    </xdr:to>
    <xdr:pic>
      <xdr:nvPicPr>
        <xdr:cNvPr id="91" name="Picture 90" descr="Talent Scatter">
          <a:extLst>
            <a:ext uri="{FF2B5EF4-FFF2-40B4-BE49-F238E27FC236}">
              <a16:creationId xmlns:a16="http://schemas.microsoft.com/office/drawing/2014/main" id="{F5763BB0-FD8A-4162-A15A-37332E4942BE}"/>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0125" y="48958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361947</xdr:rowOff>
    </xdr:from>
    <xdr:to>
      <xdr:col>1</xdr:col>
      <xdr:colOff>360515</xdr:colOff>
      <xdr:row>16</xdr:row>
      <xdr:rowOff>7572</xdr:rowOff>
    </xdr:to>
    <xdr:pic>
      <xdr:nvPicPr>
        <xdr:cNvPr id="92" name="Picture 91" descr="Talent Scorch">
          <a:extLst>
            <a:ext uri="{FF2B5EF4-FFF2-40B4-BE49-F238E27FC236}">
              <a16:creationId xmlns:a16="http://schemas.microsoft.com/office/drawing/2014/main" id="{69DDF534-7ECF-4260-B603-5AE94D10FFEE}"/>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0125" y="52577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361947</xdr:rowOff>
    </xdr:from>
    <xdr:to>
      <xdr:col>1</xdr:col>
      <xdr:colOff>360515</xdr:colOff>
      <xdr:row>17</xdr:row>
      <xdr:rowOff>7572</xdr:rowOff>
    </xdr:to>
    <xdr:pic>
      <xdr:nvPicPr>
        <xdr:cNvPr id="93" name="Picture 92" descr="Talent Self Destruct">
          <a:extLst>
            <a:ext uri="{FF2B5EF4-FFF2-40B4-BE49-F238E27FC236}">
              <a16:creationId xmlns:a16="http://schemas.microsoft.com/office/drawing/2014/main" id="{E37A7DCE-593D-4577-A3D2-A7D90B84723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56197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361947</xdr:rowOff>
    </xdr:from>
    <xdr:to>
      <xdr:col>1</xdr:col>
      <xdr:colOff>360515</xdr:colOff>
      <xdr:row>18</xdr:row>
      <xdr:rowOff>7572</xdr:rowOff>
    </xdr:to>
    <xdr:pic>
      <xdr:nvPicPr>
        <xdr:cNvPr id="94" name="Picture 93" descr="Talent Slow Down">
          <a:extLst>
            <a:ext uri="{FF2B5EF4-FFF2-40B4-BE49-F238E27FC236}">
              <a16:creationId xmlns:a16="http://schemas.microsoft.com/office/drawing/2014/main" id="{114BD7C6-4DCA-42D1-B758-8A3E37BC86D8}"/>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0125" y="59816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361947</xdr:rowOff>
    </xdr:from>
    <xdr:to>
      <xdr:col>1</xdr:col>
      <xdr:colOff>360515</xdr:colOff>
      <xdr:row>19</xdr:row>
      <xdr:rowOff>7572</xdr:rowOff>
    </xdr:to>
    <xdr:pic>
      <xdr:nvPicPr>
        <xdr:cNvPr id="95" name="Picture 94" descr="Talent Sprint">
          <a:extLst>
            <a:ext uri="{FF2B5EF4-FFF2-40B4-BE49-F238E27FC236}">
              <a16:creationId xmlns:a16="http://schemas.microsoft.com/office/drawing/2014/main" id="{F471CBAA-4A65-473D-A89D-3A737A07EF55}"/>
            </a:ext>
          </a:extLst>
        </xdr:cNvPr>
        <xdr:cNvPicPr>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0125" y="63436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361947</xdr:rowOff>
    </xdr:from>
    <xdr:to>
      <xdr:col>1</xdr:col>
      <xdr:colOff>360515</xdr:colOff>
      <xdr:row>20</xdr:row>
      <xdr:rowOff>7572</xdr:rowOff>
    </xdr:to>
    <xdr:pic>
      <xdr:nvPicPr>
        <xdr:cNvPr id="96" name="Picture 95" descr="Talent Stone Skin">
          <a:extLst>
            <a:ext uri="{FF2B5EF4-FFF2-40B4-BE49-F238E27FC236}">
              <a16:creationId xmlns:a16="http://schemas.microsoft.com/office/drawing/2014/main" id="{DB0459AF-AF75-4419-A71B-8D91351DA48C}"/>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0125" y="67055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361947</xdr:rowOff>
    </xdr:from>
    <xdr:to>
      <xdr:col>1</xdr:col>
      <xdr:colOff>360515</xdr:colOff>
      <xdr:row>21</xdr:row>
      <xdr:rowOff>7572</xdr:rowOff>
    </xdr:to>
    <xdr:pic>
      <xdr:nvPicPr>
        <xdr:cNvPr id="97" name="Picture 96" descr="Talent Tenacity">
          <a:extLst>
            <a:ext uri="{FF2B5EF4-FFF2-40B4-BE49-F238E27FC236}">
              <a16:creationId xmlns:a16="http://schemas.microsoft.com/office/drawing/2014/main" id="{44B64472-FD1B-457B-B4E6-383D4CBBAAF5}"/>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0125" y="70675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361947</xdr:rowOff>
    </xdr:from>
    <xdr:to>
      <xdr:col>1</xdr:col>
      <xdr:colOff>360515</xdr:colOff>
      <xdr:row>22</xdr:row>
      <xdr:rowOff>7572</xdr:rowOff>
    </xdr:to>
    <xdr:pic>
      <xdr:nvPicPr>
        <xdr:cNvPr id="98" name="Picture 97" descr="Talent War God">
          <a:extLst>
            <a:ext uri="{FF2B5EF4-FFF2-40B4-BE49-F238E27FC236}">
              <a16:creationId xmlns:a16="http://schemas.microsoft.com/office/drawing/2014/main" id="{8A66B822-5C4C-459B-A13B-BDB4F238AF78}"/>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00125" y="74294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190497</xdr:rowOff>
    </xdr:from>
    <xdr:to>
      <xdr:col>1</xdr:col>
      <xdr:colOff>360515</xdr:colOff>
      <xdr:row>2</xdr:row>
      <xdr:rowOff>7572</xdr:rowOff>
    </xdr:to>
    <xdr:pic>
      <xdr:nvPicPr>
        <xdr:cNvPr id="99" name="Picture 98" descr="Talent Berserk">
          <a:extLst>
            <a:ext uri="{FF2B5EF4-FFF2-40B4-BE49-F238E27FC236}">
              <a16:creationId xmlns:a16="http://schemas.microsoft.com/office/drawing/2014/main" id="{DAB7D172-3552-4664-9CD6-FFB856037641}"/>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0125" y="1904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361947</xdr:rowOff>
    </xdr:from>
    <xdr:to>
      <xdr:col>1</xdr:col>
      <xdr:colOff>360515</xdr:colOff>
      <xdr:row>4</xdr:row>
      <xdr:rowOff>7572</xdr:rowOff>
    </xdr:to>
    <xdr:pic>
      <xdr:nvPicPr>
        <xdr:cNvPr id="101" name="Picture 100" descr="Talent Bulwark">
          <a:extLst>
            <a:ext uri="{FF2B5EF4-FFF2-40B4-BE49-F238E27FC236}">
              <a16:creationId xmlns:a16="http://schemas.microsoft.com/office/drawing/2014/main" id="{0D35A4A4-7906-41B9-83CF-1C7B9C6AAFDC}"/>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0125" y="9143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361947</xdr:rowOff>
    </xdr:from>
    <xdr:to>
      <xdr:col>1</xdr:col>
      <xdr:colOff>360515</xdr:colOff>
      <xdr:row>5</xdr:row>
      <xdr:rowOff>7572</xdr:rowOff>
    </xdr:to>
    <xdr:pic>
      <xdr:nvPicPr>
        <xdr:cNvPr id="102" name="Picture 101" descr="Talent Condemnation">
          <a:extLst>
            <a:ext uri="{FF2B5EF4-FFF2-40B4-BE49-F238E27FC236}">
              <a16:creationId xmlns:a16="http://schemas.microsoft.com/office/drawing/2014/main" id="{B5C86F3A-63B5-4366-B9B2-6CAF5F5807B4}"/>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0125" y="12763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361947</xdr:rowOff>
    </xdr:from>
    <xdr:to>
      <xdr:col>1</xdr:col>
      <xdr:colOff>360515</xdr:colOff>
      <xdr:row>6</xdr:row>
      <xdr:rowOff>7572</xdr:rowOff>
    </xdr:to>
    <xdr:pic>
      <xdr:nvPicPr>
        <xdr:cNvPr id="103" name="Picture 102" descr="Talent Corrode">
          <a:extLst>
            <a:ext uri="{FF2B5EF4-FFF2-40B4-BE49-F238E27FC236}">
              <a16:creationId xmlns:a16="http://schemas.microsoft.com/office/drawing/2014/main" id="{BE8DFC87-3B1C-4B59-87D3-DDE640EBD43C}"/>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00125" y="16382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361947</xdr:rowOff>
    </xdr:from>
    <xdr:to>
      <xdr:col>1</xdr:col>
      <xdr:colOff>360515</xdr:colOff>
      <xdr:row>7</xdr:row>
      <xdr:rowOff>7572</xdr:rowOff>
    </xdr:to>
    <xdr:pic>
      <xdr:nvPicPr>
        <xdr:cNvPr id="104" name="Picture 103" descr="Talent Deadly Strike">
          <a:extLst>
            <a:ext uri="{FF2B5EF4-FFF2-40B4-BE49-F238E27FC236}">
              <a16:creationId xmlns:a16="http://schemas.microsoft.com/office/drawing/2014/main" id="{05E5D4C0-848E-467F-99B8-0BA3B92FCD79}"/>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00125" y="20002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361947</xdr:rowOff>
    </xdr:from>
    <xdr:to>
      <xdr:col>1</xdr:col>
      <xdr:colOff>360515</xdr:colOff>
      <xdr:row>8</xdr:row>
      <xdr:rowOff>7572</xdr:rowOff>
    </xdr:to>
    <xdr:pic>
      <xdr:nvPicPr>
        <xdr:cNvPr id="105" name="Picture 104" descr="Talent Enlighten">
          <a:extLst>
            <a:ext uri="{FF2B5EF4-FFF2-40B4-BE49-F238E27FC236}">
              <a16:creationId xmlns:a16="http://schemas.microsoft.com/office/drawing/2014/main" id="{C280FF0F-86A7-4BE8-B4DE-D4892B08FADF}"/>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00125" y="23621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361947</xdr:rowOff>
    </xdr:from>
    <xdr:to>
      <xdr:col>1</xdr:col>
      <xdr:colOff>360515</xdr:colOff>
      <xdr:row>9</xdr:row>
      <xdr:rowOff>7572</xdr:rowOff>
    </xdr:to>
    <xdr:pic>
      <xdr:nvPicPr>
        <xdr:cNvPr id="106" name="Picture 105" descr="Talent Flame Guard">
          <a:extLst>
            <a:ext uri="{FF2B5EF4-FFF2-40B4-BE49-F238E27FC236}">
              <a16:creationId xmlns:a16="http://schemas.microsoft.com/office/drawing/2014/main" id="{58E47B7C-6294-4A53-8D1B-0AAC4976D4C1}"/>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00125" y="27241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361947</xdr:rowOff>
    </xdr:from>
    <xdr:to>
      <xdr:col>1</xdr:col>
      <xdr:colOff>360515</xdr:colOff>
      <xdr:row>10</xdr:row>
      <xdr:rowOff>7572</xdr:rowOff>
    </xdr:to>
    <xdr:pic>
      <xdr:nvPicPr>
        <xdr:cNvPr id="107" name="Picture 106" descr="Talent Heaven&amp;#039;s Wrath">
          <a:extLst>
            <a:ext uri="{FF2B5EF4-FFF2-40B4-BE49-F238E27FC236}">
              <a16:creationId xmlns:a16="http://schemas.microsoft.com/office/drawing/2014/main" id="{236DAD14-38CD-4C71-854E-90A8B24E066A}"/>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00125" y="30860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361947</xdr:rowOff>
    </xdr:from>
    <xdr:to>
      <xdr:col>1</xdr:col>
      <xdr:colOff>360515</xdr:colOff>
      <xdr:row>11</xdr:row>
      <xdr:rowOff>7572</xdr:rowOff>
    </xdr:to>
    <xdr:pic>
      <xdr:nvPicPr>
        <xdr:cNvPr id="108" name="Picture 107" descr="Talent Heavy Blow">
          <a:extLst>
            <a:ext uri="{FF2B5EF4-FFF2-40B4-BE49-F238E27FC236}">
              <a16:creationId xmlns:a16="http://schemas.microsoft.com/office/drawing/2014/main" id="{6160F0EA-CB14-456D-B79D-BF794DE9E04C}"/>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00125" y="344804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361947</xdr:rowOff>
    </xdr:from>
    <xdr:to>
      <xdr:col>1</xdr:col>
      <xdr:colOff>360515</xdr:colOff>
      <xdr:row>12</xdr:row>
      <xdr:rowOff>7572</xdr:rowOff>
    </xdr:to>
    <xdr:pic>
      <xdr:nvPicPr>
        <xdr:cNvPr id="109" name="Picture 108" descr="Talent Life Drain">
          <a:extLst>
            <a:ext uri="{FF2B5EF4-FFF2-40B4-BE49-F238E27FC236}">
              <a16:creationId xmlns:a16="http://schemas.microsoft.com/office/drawing/2014/main" id="{A3556013-EB91-4133-930A-200D82F2F43F}"/>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0125" y="3809997"/>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360515</xdr:colOff>
      <xdr:row>13</xdr:row>
      <xdr:rowOff>7575</xdr:rowOff>
    </xdr:to>
    <xdr:pic>
      <xdr:nvPicPr>
        <xdr:cNvPr id="110" name="Picture 109" descr="Talent Revitalize">
          <a:extLst>
            <a:ext uri="{FF2B5EF4-FFF2-40B4-BE49-F238E27FC236}">
              <a16:creationId xmlns:a16="http://schemas.microsoft.com/office/drawing/2014/main" id="{420B4217-90D9-4670-975F-27214B257DBD}"/>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00125" y="41719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360515</xdr:colOff>
      <xdr:row>23</xdr:row>
      <xdr:rowOff>7575</xdr:rowOff>
    </xdr:to>
    <xdr:pic>
      <xdr:nvPicPr>
        <xdr:cNvPr id="49" name="Picture 48" descr="C:\Users\M7510-MOD2\Documents\cc\asset\cc\icon\bag\item0000.png">
          <a:extLst>
            <a:ext uri="{FF2B5EF4-FFF2-40B4-BE49-F238E27FC236}">
              <a16:creationId xmlns:a16="http://schemas.microsoft.com/office/drawing/2014/main" id="{AE5D2F17-00BD-4B1C-BE57-355035B3AD28}"/>
            </a:ext>
          </a:extLst>
        </xdr:cNvPr>
        <xdr:cNvPicPr>
          <a:picLocks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000125" y="77914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359228</xdr:colOff>
      <xdr:row>3</xdr:row>
      <xdr:rowOff>7575</xdr:rowOff>
    </xdr:to>
    <xdr:pic>
      <xdr:nvPicPr>
        <xdr:cNvPr id="24" name="Picture 23" descr="Talent Blade Shell">
          <a:extLst>
            <a:ext uri="{FF2B5EF4-FFF2-40B4-BE49-F238E27FC236}">
              <a16:creationId xmlns:a16="http://schemas.microsoft.com/office/drawing/2014/main" id="{4D6898AA-B247-42A1-9CDF-AE69E9570D0C}"/>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381125" y="542925"/>
          <a:ext cx="359228"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360000" cy="360000"/>
    <xdr:pic>
      <xdr:nvPicPr>
        <xdr:cNvPr id="33" name="Picture 32" descr="Talent Condemnation">
          <a:extLst>
            <a:ext uri="{FF2B5EF4-FFF2-40B4-BE49-F238E27FC236}">
              <a16:creationId xmlns:a16="http://schemas.microsoft.com/office/drawing/2014/main" id="{9064E68D-B4A4-49E0-8B33-3E4DBC22F602}"/>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0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xdr:row>
      <xdr:rowOff>0</xdr:rowOff>
    </xdr:from>
    <xdr:ext cx="360000" cy="360000"/>
    <xdr:pic>
      <xdr:nvPicPr>
        <xdr:cNvPr id="34" name="Picture 33" descr="Talent Heavy Blow">
          <a:extLst>
            <a:ext uri="{FF2B5EF4-FFF2-40B4-BE49-F238E27FC236}">
              <a16:creationId xmlns:a16="http://schemas.microsoft.com/office/drawing/2014/main" id="{B46FC05D-4E75-49B0-9A02-D9A5788A4A1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5524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360000" cy="360000"/>
    <xdr:pic>
      <xdr:nvPicPr>
        <xdr:cNvPr id="35" name="Picture 34" descr="Talent Scorch">
          <a:extLst>
            <a:ext uri="{FF2B5EF4-FFF2-40B4-BE49-F238E27FC236}">
              <a16:creationId xmlns:a16="http://schemas.microsoft.com/office/drawing/2014/main" id="{A7AC746F-9576-40A3-9B76-BAA2337E9EF1}"/>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9144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xdr:row>
      <xdr:rowOff>0</xdr:rowOff>
    </xdr:from>
    <xdr:ext cx="360000" cy="360000"/>
    <xdr:pic>
      <xdr:nvPicPr>
        <xdr:cNvPr id="36" name="Picture 35" descr="Talent Revive">
          <a:extLst>
            <a:ext uri="{FF2B5EF4-FFF2-40B4-BE49-F238E27FC236}">
              <a16:creationId xmlns:a16="http://schemas.microsoft.com/office/drawing/2014/main" id="{B570C91F-BED8-46E6-88D4-BC231F35F0C3}"/>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2763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xdr:row>
      <xdr:rowOff>0</xdr:rowOff>
    </xdr:from>
    <xdr:ext cx="360000" cy="360000"/>
    <xdr:pic>
      <xdr:nvPicPr>
        <xdr:cNvPr id="37" name="Picture 36" descr="Talent Life Drain">
          <a:extLst>
            <a:ext uri="{FF2B5EF4-FFF2-40B4-BE49-F238E27FC236}">
              <a16:creationId xmlns:a16="http://schemas.microsoft.com/office/drawing/2014/main" id="{6878B6B0-CA93-442F-BD55-DC03FF84B3F0}"/>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 y="16383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xdr:row>
      <xdr:rowOff>0</xdr:rowOff>
    </xdr:from>
    <xdr:ext cx="360000" cy="360000"/>
    <xdr:pic>
      <xdr:nvPicPr>
        <xdr:cNvPr id="38" name="Picture 37" descr="Talent Deadly Strike">
          <a:extLst>
            <a:ext uri="{FF2B5EF4-FFF2-40B4-BE49-F238E27FC236}">
              <a16:creationId xmlns:a16="http://schemas.microsoft.com/office/drawing/2014/main" id="{51C6C3FB-EC05-4DC8-92D6-48CE1A4E1C75}"/>
            </a:ext>
          </a:extLst>
        </xdr:cNvPr>
        <xdr:cNvPicPr>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00150" y="20002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360000" cy="360000"/>
    <xdr:pic>
      <xdr:nvPicPr>
        <xdr:cNvPr id="39" name="Picture 38" descr="Talent Revitalize">
          <a:extLst>
            <a:ext uri="{FF2B5EF4-FFF2-40B4-BE49-F238E27FC236}">
              <a16:creationId xmlns:a16="http://schemas.microsoft.com/office/drawing/2014/main" id="{2E8A34B0-4786-4E1B-BA2E-2BE5831BEB64}"/>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0150" y="23622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360000" cy="360000"/>
    <xdr:pic>
      <xdr:nvPicPr>
        <xdr:cNvPr id="40" name="Picture 39" descr="Talent Berserk">
          <a:extLst>
            <a:ext uri="{FF2B5EF4-FFF2-40B4-BE49-F238E27FC236}">
              <a16:creationId xmlns:a16="http://schemas.microsoft.com/office/drawing/2014/main" id="{D43E91C1-AC8E-44D8-8D71-47CCCA77092E}"/>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00150" y="27241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360000" cy="360000"/>
    <xdr:pic>
      <xdr:nvPicPr>
        <xdr:cNvPr id="41" name="Picture 40" descr="Talent Revitalize">
          <a:extLst>
            <a:ext uri="{FF2B5EF4-FFF2-40B4-BE49-F238E27FC236}">
              <a16:creationId xmlns:a16="http://schemas.microsoft.com/office/drawing/2014/main" id="{6AC8658F-E954-4DE5-A107-CA6E4C1BFE3C}"/>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00150" y="30861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xdr:row>
      <xdr:rowOff>0</xdr:rowOff>
    </xdr:from>
    <xdr:ext cx="360000" cy="360000"/>
    <xdr:pic>
      <xdr:nvPicPr>
        <xdr:cNvPr id="42" name="Picture 41" descr="Talent Bulwark">
          <a:extLst>
            <a:ext uri="{FF2B5EF4-FFF2-40B4-BE49-F238E27FC236}">
              <a16:creationId xmlns:a16="http://schemas.microsoft.com/office/drawing/2014/main" id="{3BFCBE47-B8B3-4CFD-9B9A-A77809CC3FB6}"/>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00150" y="34480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360000" cy="360000"/>
    <xdr:pic>
      <xdr:nvPicPr>
        <xdr:cNvPr id="43" name="Picture 42" descr="Talent War God">
          <a:extLst>
            <a:ext uri="{FF2B5EF4-FFF2-40B4-BE49-F238E27FC236}">
              <a16:creationId xmlns:a16="http://schemas.microsoft.com/office/drawing/2014/main" id="{71BC17C7-FD12-4027-B4AF-C6726E331CDC}"/>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00150" y="48958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360000" cy="360000"/>
    <xdr:pic>
      <xdr:nvPicPr>
        <xdr:cNvPr id="44" name="Picture 43" descr="Talent Revive">
          <a:extLst>
            <a:ext uri="{FF2B5EF4-FFF2-40B4-BE49-F238E27FC236}">
              <a16:creationId xmlns:a16="http://schemas.microsoft.com/office/drawing/2014/main" id="{3FFDBDE0-E6B3-4FE3-AB33-411BDD5405B1}"/>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45339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360000" cy="360000"/>
    <xdr:pic>
      <xdr:nvPicPr>
        <xdr:cNvPr id="45" name="Picture 44" descr="Talent Self Destruct">
          <a:extLst>
            <a:ext uri="{FF2B5EF4-FFF2-40B4-BE49-F238E27FC236}">
              <a16:creationId xmlns:a16="http://schemas.microsoft.com/office/drawing/2014/main" id="{B22BB6FA-27A6-4022-BB34-62CEE079269F}"/>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00150" y="41719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360000" cy="360000"/>
    <xdr:pic>
      <xdr:nvPicPr>
        <xdr:cNvPr id="46" name="Picture 45" descr="Talent Scatter">
          <a:extLst>
            <a:ext uri="{FF2B5EF4-FFF2-40B4-BE49-F238E27FC236}">
              <a16:creationId xmlns:a16="http://schemas.microsoft.com/office/drawing/2014/main" id="{1457907E-5890-4A85-A8C6-68FEF467FF2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00150" y="38100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360000" cy="360000"/>
    <xdr:pic>
      <xdr:nvPicPr>
        <xdr:cNvPr id="16" name="Picture 15" descr="Talent Revitalize">
          <a:extLst>
            <a:ext uri="{FF2B5EF4-FFF2-40B4-BE49-F238E27FC236}">
              <a16:creationId xmlns:a16="http://schemas.microsoft.com/office/drawing/2014/main" id="{8BB93704-46D9-4AB6-8556-74980D328C2F}"/>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81125" y="37147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378950</xdr:colOff>
      <xdr:row>1</xdr:row>
      <xdr:rowOff>360000</xdr:rowOff>
    </xdr:to>
    <xdr:pic>
      <xdr:nvPicPr>
        <xdr:cNvPr id="21" name="Picture 20" descr="Crest Berserk">
          <a:extLst>
            <a:ext uri="{FF2B5EF4-FFF2-40B4-BE49-F238E27FC236}">
              <a16:creationId xmlns:a16="http://schemas.microsoft.com/office/drawing/2014/main" id="{1A1F9846-1F8F-4F1D-9B64-874F44D90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1905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378950</xdr:colOff>
      <xdr:row>2</xdr:row>
      <xdr:rowOff>360000</xdr:rowOff>
    </xdr:to>
    <xdr:pic>
      <xdr:nvPicPr>
        <xdr:cNvPr id="22" name="Picture 21" descr="Crest Blade Shell">
          <a:extLst>
            <a:ext uri="{FF2B5EF4-FFF2-40B4-BE49-F238E27FC236}">
              <a16:creationId xmlns:a16="http://schemas.microsoft.com/office/drawing/2014/main" id="{FE301B44-ED0B-4701-95C1-6093B531A5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0125" y="5524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378950</xdr:colOff>
      <xdr:row>3</xdr:row>
      <xdr:rowOff>360000</xdr:rowOff>
    </xdr:to>
    <xdr:pic>
      <xdr:nvPicPr>
        <xdr:cNvPr id="23" name="Picture 22" descr="Crest Bulwark">
          <a:extLst>
            <a:ext uri="{FF2B5EF4-FFF2-40B4-BE49-F238E27FC236}">
              <a16:creationId xmlns:a16="http://schemas.microsoft.com/office/drawing/2014/main" id="{52B09FB7-19C5-433C-A30F-9E7BFD8254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0125" y="9144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378950</xdr:colOff>
      <xdr:row>4</xdr:row>
      <xdr:rowOff>360000</xdr:rowOff>
    </xdr:to>
    <xdr:pic>
      <xdr:nvPicPr>
        <xdr:cNvPr id="24" name="Picture 23" descr="Crest Deadly Strike">
          <a:extLst>
            <a:ext uri="{FF2B5EF4-FFF2-40B4-BE49-F238E27FC236}">
              <a16:creationId xmlns:a16="http://schemas.microsoft.com/office/drawing/2014/main" id="{8D60EB62-DE2B-4DE4-BA18-78E3A9C6EF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20002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378950</xdr:colOff>
      <xdr:row>5</xdr:row>
      <xdr:rowOff>360000</xdr:rowOff>
    </xdr:to>
    <xdr:pic>
      <xdr:nvPicPr>
        <xdr:cNvPr id="25" name="Picture 24" descr="Crest Flame Guard">
          <a:extLst>
            <a:ext uri="{FF2B5EF4-FFF2-40B4-BE49-F238E27FC236}">
              <a16:creationId xmlns:a16="http://schemas.microsoft.com/office/drawing/2014/main" id="{1FBD22B7-8920-4E04-809F-B3C7C08A7A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0125" y="27241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378950</xdr:colOff>
      <xdr:row>6</xdr:row>
      <xdr:rowOff>360000</xdr:rowOff>
    </xdr:to>
    <xdr:pic>
      <xdr:nvPicPr>
        <xdr:cNvPr id="26" name="Picture 25" descr="Crest Heavy Blow">
          <a:extLst>
            <a:ext uri="{FF2B5EF4-FFF2-40B4-BE49-F238E27FC236}">
              <a16:creationId xmlns:a16="http://schemas.microsoft.com/office/drawing/2014/main" id="{3EFFF4D5-7CEF-4E85-AB66-64FFFA86D41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0125" y="34480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378950</xdr:colOff>
      <xdr:row>7</xdr:row>
      <xdr:rowOff>360000</xdr:rowOff>
    </xdr:to>
    <xdr:pic>
      <xdr:nvPicPr>
        <xdr:cNvPr id="27" name="Picture 26" descr="Crest Life Drain">
          <a:extLst>
            <a:ext uri="{FF2B5EF4-FFF2-40B4-BE49-F238E27FC236}">
              <a16:creationId xmlns:a16="http://schemas.microsoft.com/office/drawing/2014/main" id="{F21BC776-451C-4EC6-B997-20D602E5EB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0125" y="38100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378950</xdr:colOff>
      <xdr:row>8</xdr:row>
      <xdr:rowOff>360000</xdr:rowOff>
    </xdr:to>
    <xdr:pic>
      <xdr:nvPicPr>
        <xdr:cNvPr id="28" name="Picture 27" descr="Crest Psyshield">
          <a:extLst>
            <a:ext uri="{FF2B5EF4-FFF2-40B4-BE49-F238E27FC236}">
              <a16:creationId xmlns:a16="http://schemas.microsoft.com/office/drawing/2014/main" id="{8BBBEA69-7FD9-4B56-B573-B0DD2511D34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0125" y="41719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378950</xdr:colOff>
      <xdr:row>9</xdr:row>
      <xdr:rowOff>360000</xdr:rowOff>
    </xdr:to>
    <xdr:pic>
      <xdr:nvPicPr>
        <xdr:cNvPr id="29" name="Picture 28" descr="Crest Revitalize">
          <a:extLst>
            <a:ext uri="{FF2B5EF4-FFF2-40B4-BE49-F238E27FC236}">
              <a16:creationId xmlns:a16="http://schemas.microsoft.com/office/drawing/2014/main" id="{E841C8F0-0A86-4124-ACFC-F297D96474B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00125" y="45339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378950</xdr:colOff>
      <xdr:row>10</xdr:row>
      <xdr:rowOff>360000</xdr:rowOff>
    </xdr:to>
    <xdr:pic>
      <xdr:nvPicPr>
        <xdr:cNvPr id="30" name="Picture 29" descr="Crest Revive">
          <a:extLst>
            <a:ext uri="{FF2B5EF4-FFF2-40B4-BE49-F238E27FC236}">
              <a16:creationId xmlns:a16="http://schemas.microsoft.com/office/drawing/2014/main" id="{2DE80C6B-67EE-4009-8CAF-3E05952F7DA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0125" y="48958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378950</xdr:colOff>
      <xdr:row>11</xdr:row>
      <xdr:rowOff>360000</xdr:rowOff>
    </xdr:to>
    <xdr:pic>
      <xdr:nvPicPr>
        <xdr:cNvPr id="31" name="Picture 30" descr="Crest Scatter">
          <a:extLst>
            <a:ext uri="{FF2B5EF4-FFF2-40B4-BE49-F238E27FC236}">
              <a16:creationId xmlns:a16="http://schemas.microsoft.com/office/drawing/2014/main" id="{8AE3ED5B-34AF-41CC-8296-E22251FC14D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0125" y="52578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378950</xdr:colOff>
      <xdr:row>12</xdr:row>
      <xdr:rowOff>360000</xdr:rowOff>
    </xdr:to>
    <xdr:pic>
      <xdr:nvPicPr>
        <xdr:cNvPr id="32" name="Picture 31" descr="Crest Scorch">
          <a:extLst>
            <a:ext uri="{FF2B5EF4-FFF2-40B4-BE49-F238E27FC236}">
              <a16:creationId xmlns:a16="http://schemas.microsoft.com/office/drawing/2014/main" id="{0606E510-6EED-45A9-BE89-FEB2CB362F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0125" y="56197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364560</xdr:colOff>
      <xdr:row>15</xdr:row>
      <xdr:rowOff>360000</xdr:rowOff>
    </xdr:to>
    <xdr:pic>
      <xdr:nvPicPr>
        <xdr:cNvPr id="33" name="Picture 32" descr="Crest Sprint">
          <a:extLst>
            <a:ext uri="{FF2B5EF4-FFF2-40B4-BE49-F238E27FC236}">
              <a16:creationId xmlns:a16="http://schemas.microsoft.com/office/drawing/2014/main" id="{CD865A01-DE55-456D-A5CE-6E22FA9ED15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00125" y="6705600"/>
          <a:ext cx="36456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378950</xdr:colOff>
      <xdr:row>13</xdr:row>
      <xdr:rowOff>360000</xdr:rowOff>
    </xdr:to>
    <xdr:pic>
      <xdr:nvPicPr>
        <xdr:cNvPr id="34" name="Picture 33" descr="Crest Self Destruct">
          <a:extLst>
            <a:ext uri="{FF2B5EF4-FFF2-40B4-BE49-F238E27FC236}">
              <a16:creationId xmlns:a16="http://schemas.microsoft.com/office/drawing/2014/main" id="{92E271A2-BFB1-4AB4-B77C-E0267ACEC22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00125" y="59817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378950</xdr:colOff>
      <xdr:row>14</xdr:row>
      <xdr:rowOff>360000</xdr:rowOff>
    </xdr:to>
    <xdr:pic>
      <xdr:nvPicPr>
        <xdr:cNvPr id="35" name="Picture 34" descr="Crest Slow Down">
          <a:extLst>
            <a:ext uri="{FF2B5EF4-FFF2-40B4-BE49-F238E27FC236}">
              <a16:creationId xmlns:a16="http://schemas.microsoft.com/office/drawing/2014/main" id="{371A227C-E49E-489D-939D-3673F3277E3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00125" y="63436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378950</xdr:colOff>
      <xdr:row>16</xdr:row>
      <xdr:rowOff>360000</xdr:rowOff>
    </xdr:to>
    <xdr:pic>
      <xdr:nvPicPr>
        <xdr:cNvPr id="36" name="Picture 35" descr="Crest Stone Skin">
          <a:extLst>
            <a:ext uri="{FF2B5EF4-FFF2-40B4-BE49-F238E27FC236}">
              <a16:creationId xmlns:a16="http://schemas.microsoft.com/office/drawing/2014/main" id="{2FBE35DC-FC6B-4BD1-AE2C-2611F84417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00125" y="706755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378950</xdr:colOff>
      <xdr:row>17</xdr:row>
      <xdr:rowOff>360000</xdr:rowOff>
    </xdr:to>
    <xdr:pic>
      <xdr:nvPicPr>
        <xdr:cNvPr id="37" name="Picture 36" descr="Crest Tenacity">
          <a:extLst>
            <a:ext uri="{FF2B5EF4-FFF2-40B4-BE49-F238E27FC236}">
              <a16:creationId xmlns:a16="http://schemas.microsoft.com/office/drawing/2014/main" id="{EBEA7190-2787-4A4E-BFF6-8E47853FEA2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00125" y="74295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369230</xdr:colOff>
      <xdr:row>18</xdr:row>
      <xdr:rowOff>360000</xdr:rowOff>
    </xdr:to>
    <xdr:pic>
      <xdr:nvPicPr>
        <xdr:cNvPr id="38" name="Picture 37" descr="Crest War God">
          <a:extLst>
            <a:ext uri="{FF2B5EF4-FFF2-40B4-BE49-F238E27FC236}">
              <a16:creationId xmlns:a16="http://schemas.microsoft.com/office/drawing/2014/main" id="{8BD432D2-122C-4455-AFD8-B2BE3224792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00125" y="7791450"/>
          <a:ext cx="36923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378950</xdr:colOff>
      <xdr:row>19</xdr:row>
      <xdr:rowOff>360000</xdr:rowOff>
    </xdr:to>
    <xdr:pic>
      <xdr:nvPicPr>
        <xdr:cNvPr id="39" name="Picture 38" descr="Crests">
          <a:extLst>
            <a:ext uri="{FF2B5EF4-FFF2-40B4-BE49-F238E27FC236}">
              <a16:creationId xmlns:a16="http://schemas.microsoft.com/office/drawing/2014/main" id="{C6EFC433-F814-4F47-9A85-3495D2BBCE0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00125" y="8153400"/>
          <a:ext cx="37895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xdr:colOff>
      <xdr:row>31</xdr:row>
      <xdr:rowOff>9525</xdr:rowOff>
    </xdr:from>
    <xdr:to>
      <xdr:col>11</xdr:col>
      <xdr:colOff>0</xdr:colOff>
      <xdr:row>40</xdr:row>
      <xdr:rowOff>161446</xdr:rowOff>
    </xdr:to>
    <xdr:pic>
      <xdr:nvPicPr>
        <xdr:cNvPr id="5" name="Picture 4">
          <a:extLst>
            <a:ext uri="{FF2B5EF4-FFF2-40B4-BE49-F238E27FC236}">
              <a16:creationId xmlns:a16="http://schemas.microsoft.com/office/drawing/2014/main" id="{CA4B01AE-85C5-4204-A9D5-9DFF91837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24300"/>
          <a:ext cx="5476875" cy="1866421"/>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46</xdr:row>
      <xdr:rowOff>9525</xdr:rowOff>
    </xdr:from>
    <xdr:to>
      <xdr:col>7</xdr:col>
      <xdr:colOff>171450</xdr:colOff>
      <xdr:row>51</xdr:row>
      <xdr:rowOff>180975</xdr:rowOff>
    </xdr:to>
    <xdr:pic>
      <xdr:nvPicPr>
        <xdr:cNvPr id="7" name="Picture 6">
          <a:extLst>
            <a:ext uri="{FF2B5EF4-FFF2-40B4-BE49-F238E27FC236}">
              <a16:creationId xmlns:a16="http://schemas.microsoft.com/office/drawing/2014/main" id="{1E8C0531-C69C-49CE-A505-7CDB4C1E14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9125" y="6915150"/>
          <a:ext cx="3209925" cy="112395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590550</xdr:colOff>
      <xdr:row>48</xdr:row>
      <xdr:rowOff>19050</xdr:rowOff>
    </xdr:from>
    <xdr:to>
      <xdr:col>5</xdr:col>
      <xdr:colOff>390525</xdr:colOff>
      <xdr:row>49</xdr:row>
      <xdr:rowOff>161925</xdr:rowOff>
    </xdr:to>
    <xdr:sp macro="" textlink="">
      <xdr:nvSpPr>
        <xdr:cNvPr id="8" name="Arrow: Down 7">
          <a:extLst>
            <a:ext uri="{FF2B5EF4-FFF2-40B4-BE49-F238E27FC236}">
              <a16:creationId xmlns:a16="http://schemas.microsoft.com/office/drawing/2014/main" id="{80C484C1-646F-47F6-BAA8-92913F1C5025}"/>
            </a:ext>
          </a:extLst>
        </xdr:cNvPr>
        <xdr:cNvSpPr/>
      </xdr:nvSpPr>
      <xdr:spPr>
        <a:xfrm rot="13500000">
          <a:off x="2457450" y="7172325"/>
          <a:ext cx="333375" cy="40957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2</xdr:col>
      <xdr:colOff>9525</xdr:colOff>
      <xdr:row>21</xdr:row>
      <xdr:rowOff>9525</xdr:rowOff>
    </xdr:from>
    <xdr:to>
      <xdr:col>10</xdr:col>
      <xdr:colOff>608325</xdr:colOff>
      <xdr:row>26</xdr:row>
      <xdr:rowOff>88646</xdr:rowOff>
    </xdr:to>
    <xdr:pic>
      <xdr:nvPicPr>
        <xdr:cNvPr id="13" name="Picture 12">
          <a:extLst>
            <a:ext uri="{FF2B5EF4-FFF2-40B4-BE49-F238E27FC236}">
              <a16:creationId xmlns:a16="http://schemas.microsoft.com/office/drawing/2014/main" id="{C3096797-9EB1-4076-B3B0-D6DBAE02A1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 y="4200525"/>
          <a:ext cx="5475600" cy="1031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285749</xdr:colOff>
      <xdr:row>23</xdr:row>
      <xdr:rowOff>57149</xdr:rowOff>
    </xdr:from>
    <xdr:to>
      <xdr:col>10</xdr:col>
      <xdr:colOff>85724</xdr:colOff>
      <xdr:row>25</xdr:row>
      <xdr:rowOff>9524</xdr:rowOff>
    </xdr:to>
    <xdr:sp macro="" textlink="">
      <xdr:nvSpPr>
        <xdr:cNvPr id="14" name="Arrow: Down 13">
          <a:extLst>
            <a:ext uri="{FF2B5EF4-FFF2-40B4-BE49-F238E27FC236}">
              <a16:creationId xmlns:a16="http://schemas.microsoft.com/office/drawing/2014/main" id="{78B7D28D-688C-450D-8450-2993ECAFFA5C}"/>
            </a:ext>
          </a:extLst>
        </xdr:cNvPr>
        <xdr:cNvSpPr/>
      </xdr:nvSpPr>
      <xdr:spPr>
        <a:xfrm rot="13500000">
          <a:off x="5448299" y="4114799"/>
          <a:ext cx="333375" cy="40957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2</xdr:col>
      <xdr:colOff>9525</xdr:colOff>
      <xdr:row>59</xdr:row>
      <xdr:rowOff>9525</xdr:rowOff>
    </xdr:from>
    <xdr:to>
      <xdr:col>9</xdr:col>
      <xdr:colOff>228600</xdr:colOff>
      <xdr:row>74</xdr:row>
      <xdr:rowOff>114300</xdr:rowOff>
    </xdr:to>
    <xdr:pic>
      <xdr:nvPicPr>
        <xdr:cNvPr id="15" name="Picture 14">
          <a:extLst>
            <a:ext uri="{FF2B5EF4-FFF2-40B4-BE49-F238E27FC236}">
              <a16:creationId xmlns:a16="http://schemas.microsoft.com/office/drawing/2014/main" id="{6BC79017-1F6E-4F02-890C-98050E0CEA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6775" y="11934825"/>
          <a:ext cx="4486275" cy="29622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0</xdr:col>
      <xdr:colOff>790575</xdr:colOff>
      <xdr:row>6</xdr:row>
      <xdr:rowOff>1</xdr:rowOff>
    </xdr:to>
    <xdr:pic>
      <xdr:nvPicPr>
        <xdr:cNvPr id="2" name="Picture 1" descr="Crest Revive">
          <a:extLst>
            <a:ext uri="{FF2B5EF4-FFF2-40B4-BE49-F238E27FC236}">
              <a16:creationId xmlns:a16="http://schemas.microsoft.com/office/drawing/2014/main" id="{C0D1E800-DBB7-4E70-9574-9B9A3327D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476"/>
          <a:ext cx="790575"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762000" cy="723900"/>
    <xdr:pic>
      <xdr:nvPicPr>
        <xdr:cNvPr id="2" name="Picture 1" descr="Crest Revive">
          <a:extLst>
            <a:ext uri="{FF2B5EF4-FFF2-40B4-BE49-F238E27FC236}">
              <a16:creationId xmlns:a16="http://schemas.microsoft.com/office/drawing/2014/main" id="{543D583D-816D-4756-826E-033370605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762000" cy="723900"/>
    <xdr:pic>
      <xdr:nvPicPr>
        <xdr:cNvPr id="3" name="Picture 2" descr="Crest Heavy Blow">
          <a:extLst>
            <a:ext uri="{FF2B5EF4-FFF2-40B4-BE49-F238E27FC236}">
              <a16:creationId xmlns:a16="http://schemas.microsoft.com/office/drawing/2014/main" id="{637F1D39-CD75-4149-80E6-289615F34E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52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762000" cy="723900"/>
    <xdr:pic>
      <xdr:nvPicPr>
        <xdr:cNvPr id="4" name="Picture 3" descr="Crest Revitalize">
          <a:extLst>
            <a:ext uri="{FF2B5EF4-FFF2-40B4-BE49-F238E27FC236}">
              <a16:creationId xmlns:a16="http://schemas.microsoft.com/office/drawing/2014/main" id="{F6310EBD-E84A-4551-92DC-25FC1D1800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14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762000" cy="723900"/>
    <xdr:pic>
      <xdr:nvPicPr>
        <xdr:cNvPr id="5" name="Picture 4" descr="Crest Scorch">
          <a:extLst>
            <a:ext uri="{FF2B5EF4-FFF2-40B4-BE49-F238E27FC236}">
              <a16:creationId xmlns:a16="http://schemas.microsoft.com/office/drawing/2014/main" id="{E7796861-1F64-4E6F-8C5F-5F61AF590E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76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762000" cy="723900"/>
    <xdr:pic>
      <xdr:nvPicPr>
        <xdr:cNvPr id="6" name="Picture 5" descr="Crest Self Destruct">
          <a:extLst>
            <a:ext uri="{FF2B5EF4-FFF2-40B4-BE49-F238E27FC236}">
              <a16:creationId xmlns:a16="http://schemas.microsoft.com/office/drawing/2014/main" id="{481644B3-F89F-457D-BD72-810BD414502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238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762000" cy="723900"/>
    <xdr:pic>
      <xdr:nvPicPr>
        <xdr:cNvPr id="7" name="Picture 6" descr="Crest Deadly Strike">
          <a:extLst>
            <a:ext uri="{FF2B5EF4-FFF2-40B4-BE49-F238E27FC236}">
              <a16:creationId xmlns:a16="http://schemas.microsoft.com/office/drawing/2014/main" id="{22DCCE6C-79F7-49F3-957A-F38E3A19E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000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762000" cy="723900"/>
    <xdr:pic>
      <xdr:nvPicPr>
        <xdr:cNvPr id="8" name="Picture 7" descr="Crest Flame Guard">
          <a:extLst>
            <a:ext uri="{FF2B5EF4-FFF2-40B4-BE49-F238E27FC236}">
              <a16:creationId xmlns:a16="http://schemas.microsoft.com/office/drawing/2014/main" id="{37047879-23FC-4E32-A598-A1647A6049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62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762000" cy="723900"/>
    <xdr:pic>
      <xdr:nvPicPr>
        <xdr:cNvPr id="9" name="Picture 8" descr="Crest Blade Shell">
          <a:extLst>
            <a:ext uri="{FF2B5EF4-FFF2-40B4-BE49-F238E27FC236}">
              <a16:creationId xmlns:a16="http://schemas.microsoft.com/office/drawing/2014/main" id="{1CC7160E-A2B1-49D2-A562-CF2EEDE86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524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762000" cy="723900"/>
    <xdr:pic>
      <xdr:nvPicPr>
        <xdr:cNvPr id="10" name="Picture 9" descr="Crest Scatter">
          <a:extLst>
            <a:ext uri="{FF2B5EF4-FFF2-40B4-BE49-F238E27FC236}">
              <a16:creationId xmlns:a16="http://schemas.microsoft.com/office/drawing/2014/main" id="{07A9D036-4B18-40A7-AFD8-E2F00C838A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86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1</xdr:row>
      <xdr:rowOff>0</xdr:rowOff>
    </xdr:from>
    <xdr:ext cx="762000" cy="723900"/>
    <xdr:pic>
      <xdr:nvPicPr>
        <xdr:cNvPr id="11" name="Picture 10" descr="Crest Slow Down">
          <a:extLst>
            <a:ext uri="{FF2B5EF4-FFF2-40B4-BE49-F238E27FC236}">
              <a16:creationId xmlns:a16="http://schemas.microsoft.com/office/drawing/2014/main" id="{4A629152-CB8F-42DF-85C9-02734047AC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86400" y="190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5</xdr:row>
      <xdr:rowOff>0</xdr:rowOff>
    </xdr:from>
    <xdr:ext cx="762000" cy="752475"/>
    <xdr:pic>
      <xdr:nvPicPr>
        <xdr:cNvPr id="12" name="Picture 11" descr="Crest Sprint">
          <a:extLst>
            <a:ext uri="{FF2B5EF4-FFF2-40B4-BE49-F238E27FC236}">
              <a16:creationId xmlns:a16="http://schemas.microsoft.com/office/drawing/2014/main" id="{423CCA3D-19A4-4852-B5E9-FA70954E4FE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86400" y="952500"/>
          <a:ext cx="762000" cy="752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9</xdr:row>
      <xdr:rowOff>0</xdr:rowOff>
    </xdr:from>
    <xdr:ext cx="762000" cy="723900"/>
    <xdr:pic>
      <xdr:nvPicPr>
        <xdr:cNvPr id="13" name="Picture 12" descr="Crest Berserk">
          <a:extLst>
            <a:ext uri="{FF2B5EF4-FFF2-40B4-BE49-F238E27FC236}">
              <a16:creationId xmlns:a16="http://schemas.microsoft.com/office/drawing/2014/main" id="{85B51F00-B5A5-4A0A-A4F0-C7320CB7D7A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86400" y="1714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13</xdr:row>
      <xdr:rowOff>0</xdr:rowOff>
    </xdr:from>
    <xdr:ext cx="762000" cy="723900"/>
    <xdr:pic>
      <xdr:nvPicPr>
        <xdr:cNvPr id="14" name="Picture 13" descr="Crest Stone Skin">
          <a:extLst>
            <a:ext uri="{FF2B5EF4-FFF2-40B4-BE49-F238E27FC236}">
              <a16:creationId xmlns:a16="http://schemas.microsoft.com/office/drawing/2014/main" id="{0F50C917-F7D5-4F7B-AABC-1BF96B31280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86400" y="2476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17</xdr:row>
      <xdr:rowOff>0</xdr:rowOff>
    </xdr:from>
    <xdr:ext cx="762000" cy="742950"/>
    <xdr:pic>
      <xdr:nvPicPr>
        <xdr:cNvPr id="15" name="Picture 14" descr="Crest War God">
          <a:extLst>
            <a:ext uri="{FF2B5EF4-FFF2-40B4-BE49-F238E27FC236}">
              <a16:creationId xmlns:a16="http://schemas.microsoft.com/office/drawing/2014/main" id="{3ECEF2C4-1E63-4E00-B9D4-AAC1906DF2C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486400" y="3238500"/>
          <a:ext cx="762000" cy="7429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21</xdr:row>
      <xdr:rowOff>0</xdr:rowOff>
    </xdr:from>
    <xdr:ext cx="762000" cy="723900"/>
    <xdr:pic>
      <xdr:nvPicPr>
        <xdr:cNvPr id="16" name="Picture 15" descr="Crest Tenacity">
          <a:extLst>
            <a:ext uri="{FF2B5EF4-FFF2-40B4-BE49-F238E27FC236}">
              <a16:creationId xmlns:a16="http://schemas.microsoft.com/office/drawing/2014/main" id="{2D00F9B0-8A25-4A11-B5A1-60903E014C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486400" y="4000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25</xdr:row>
      <xdr:rowOff>0</xdr:rowOff>
    </xdr:from>
    <xdr:ext cx="762000" cy="723900"/>
    <xdr:pic>
      <xdr:nvPicPr>
        <xdr:cNvPr id="17" name="Picture 16" descr="Crest Life Drain">
          <a:extLst>
            <a:ext uri="{FF2B5EF4-FFF2-40B4-BE49-F238E27FC236}">
              <a16:creationId xmlns:a16="http://schemas.microsoft.com/office/drawing/2014/main" id="{FCC3D139-B692-4A1E-BE01-222C8AF6543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486400" y="4762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29</xdr:row>
      <xdr:rowOff>0</xdr:rowOff>
    </xdr:from>
    <xdr:ext cx="762000" cy="723900"/>
    <xdr:pic>
      <xdr:nvPicPr>
        <xdr:cNvPr id="18" name="Picture 17" descr="Crest Bulwark">
          <a:extLst>
            <a:ext uri="{FF2B5EF4-FFF2-40B4-BE49-F238E27FC236}">
              <a16:creationId xmlns:a16="http://schemas.microsoft.com/office/drawing/2014/main" id="{9ABC296F-D244-4E50-BC2B-E9D653E5E79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486400" y="5524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33</xdr:row>
      <xdr:rowOff>0</xdr:rowOff>
    </xdr:from>
    <xdr:ext cx="762000" cy="723900"/>
    <xdr:pic>
      <xdr:nvPicPr>
        <xdr:cNvPr id="19" name="Picture 18" descr="Crest Psyshield">
          <a:extLst>
            <a:ext uri="{FF2B5EF4-FFF2-40B4-BE49-F238E27FC236}">
              <a16:creationId xmlns:a16="http://schemas.microsoft.com/office/drawing/2014/main" id="{8ABA50D7-8B82-42C6-9561-18C28F8C36A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486400" y="6286500"/>
          <a:ext cx="762000" cy="7239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28575</xdr:colOff>
      <xdr:row>3</xdr:row>
      <xdr:rowOff>19050</xdr:rowOff>
    </xdr:from>
    <xdr:to>
      <xdr:col>2</xdr:col>
      <xdr:colOff>29085</xdr:colOff>
      <xdr:row>6</xdr:row>
      <xdr:rowOff>23550</xdr:rowOff>
    </xdr:to>
    <xdr:pic>
      <xdr:nvPicPr>
        <xdr:cNvPr id="3" name="Picture 2" descr="https://vignette3.wikia.nocookie.net/castle-clash/images/e/ed/HC_Paladin.png/revision/latest/scale-to-width-down/96?cb=20150203091100">
          <a:extLst>
            <a:ext uri="{FF2B5EF4-FFF2-40B4-BE49-F238E27FC236}">
              <a16:creationId xmlns:a16="http://schemas.microsoft.com/office/drawing/2014/main" id="{4F6E3A9D-D0D4-4159-9112-B207333A6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209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3</xdr:row>
      <xdr:rowOff>19050</xdr:rowOff>
    </xdr:from>
    <xdr:to>
      <xdr:col>5</xdr:col>
      <xdr:colOff>29085</xdr:colOff>
      <xdr:row>6</xdr:row>
      <xdr:rowOff>23550</xdr:rowOff>
    </xdr:to>
    <xdr:pic>
      <xdr:nvPicPr>
        <xdr:cNvPr id="9" name="Picture 8" descr="https://vignette2.wikia.nocookie.net/castle-clash/images/1/19/HC_Ninja.png/revision/latest/scale-to-width-down/96?cb=20150203091022">
          <a:extLst>
            <a:ext uri="{FF2B5EF4-FFF2-40B4-BE49-F238E27FC236}">
              <a16:creationId xmlns:a16="http://schemas.microsoft.com/office/drawing/2014/main" id="{A75694E7-4EFC-495D-B7AD-ED61869C0D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209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3</xdr:row>
      <xdr:rowOff>19050</xdr:rowOff>
    </xdr:from>
    <xdr:to>
      <xdr:col>8</xdr:col>
      <xdr:colOff>29085</xdr:colOff>
      <xdr:row>6</xdr:row>
      <xdr:rowOff>23550</xdr:rowOff>
    </xdr:to>
    <xdr:pic>
      <xdr:nvPicPr>
        <xdr:cNvPr id="10" name="Picture 9" descr="https://vignette2.wikia.nocookie.net/castle-clash/images/d/d4/HC_Succubus.png/revision/latest/scale-to-width-down/96?cb=20150203091319">
          <a:extLst>
            <a:ext uri="{FF2B5EF4-FFF2-40B4-BE49-F238E27FC236}">
              <a16:creationId xmlns:a16="http://schemas.microsoft.com/office/drawing/2014/main" id="{A99EC8BD-A5FB-440E-A6A7-53043EB437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4625" y="209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3</xdr:row>
      <xdr:rowOff>19050</xdr:rowOff>
    </xdr:from>
    <xdr:to>
      <xdr:col>11</xdr:col>
      <xdr:colOff>29085</xdr:colOff>
      <xdr:row>6</xdr:row>
      <xdr:rowOff>23550</xdr:rowOff>
    </xdr:to>
    <xdr:pic>
      <xdr:nvPicPr>
        <xdr:cNvPr id="12" name="Picture 11" descr="https://vignette4.wikia.nocookie.net/castle-clash/images/b/b3/HC_Champion.png/revision/latest/scale-to-width-down/96?cb=20150203090458">
          <a:extLst>
            <a:ext uri="{FF2B5EF4-FFF2-40B4-BE49-F238E27FC236}">
              <a16:creationId xmlns:a16="http://schemas.microsoft.com/office/drawing/2014/main" id="{36AAD806-6277-4C5D-84C6-AE7B4161A9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57650" y="209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3</xdr:row>
      <xdr:rowOff>19050</xdr:rowOff>
    </xdr:from>
    <xdr:to>
      <xdr:col>14</xdr:col>
      <xdr:colOff>29085</xdr:colOff>
      <xdr:row>6</xdr:row>
      <xdr:rowOff>23550</xdr:rowOff>
    </xdr:to>
    <xdr:pic>
      <xdr:nvPicPr>
        <xdr:cNvPr id="14" name="Picture 13" descr="https://vignette1.wikia.nocookie.net/castle-clash/images/8/8d/HC_Druid.png/revision/latest/scale-to-width-down/96?cb=20150203084109">
          <a:extLst>
            <a:ext uri="{FF2B5EF4-FFF2-40B4-BE49-F238E27FC236}">
              <a16:creationId xmlns:a16="http://schemas.microsoft.com/office/drawing/2014/main" id="{37AC0F9B-B074-4C25-B767-B1D7392E99B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00675" y="209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7</xdr:row>
      <xdr:rowOff>19050</xdr:rowOff>
    </xdr:from>
    <xdr:to>
      <xdr:col>2</xdr:col>
      <xdr:colOff>30471</xdr:colOff>
      <xdr:row>10</xdr:row>
      <xdr:rowOff>23550</xdr:rowOff>
    </xdr:to>
    <xdr:pic>
      <xdr:nvPicPr>
        <xdr:cNvPr id="18" name="Picture 17" descr="Grizzly Reaper">
          <a:extLst>
            <a:ext uri="{FF2B5EF4-FFF2-40B4-BE49-F238E27FC236}">
              <a16:creationId xmlns:a16="http://schemas.microsoft.com/office/drawing/2014/main" id="{09D6D0EC-D3CB-466C-B1D7-1D46235A64E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 y="971550"/>
          <a:ext cx="554346"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7</xdr:row>
      <xdr:rowOff>19050</xdr:rowOff>
    </xdr:from>
    <xdr:to>
      <xdr:col>5</xdr:col>
      <xdr:colOff>29085</xdr:colOff>
      <xdr:row>10</xdr:row>
      <xdr:rowOff>23550</xdr:rowOff>
    </xdr:to>
    <xdr:pic>
      <xdr:nvPicPr>
        <xdr:cNvPr id="23" name="Picture 22" descr="https://vignette4.wikia.nocookie.net/castle-clash/images/b/b6/HC_Atlanticore.png/revision/latest/scale-to-width-down/96?cb=20150203090438">
          <a:extLst>
            <a:ext uri="{FF2B5EF4-FFF2-40B4-BE49-F238E27FC236}">
              <a16:creationId xmlns:a16="http://schemas.microsoft.com/office/drawing/2014/main" id="{4CD41294-9A24-47AA-B583-A73A3C271E4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971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7</xdr:row>
      <xdr:rowOff>19050</xdr:rowOff>
    </xdr:from>
    <xdr:to>
      <xdr:col>8</xdr:col>
      <xdr:colOff>29085</xdr:colOff>
      <xdr:row>10</xdr:row>
      <xdr:rowOff>23550</xdr:rowOff>
    </xdr:to>
    <xdr:pic>
      <xdr:nvPicPr>
        <xdr:cNvPr id="24" name="Picture 23" descr="https://vignette3.wikia.nocookie.net/castle-clash/images/e/e9/HC_Immortep.png/revision/latest/scale-to-width-down/96?cb=20150203090957">
          <a:extLst>
            <a:ext uri="{FF2B5EF4-FFF2-40B4-BE49-F238E27FC236}">
              <a16:creationId xmlns:a16="http://schemas.microsoft.com/office/drawing/2014/main" id="{8CE40080-F0DD-4214-A241-864EE24648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14625" y="971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7</xdr:row>
      <xdr:rowOff>19050</xdr:rowOff>
    </xdr:from>
    <xdr:to>
      <xdr:col>11</xdr:col>
      <xdr:colOff>29085</xdr:colOff>
      <xdr:row>10</xdr:row>
      <xdr:rowOff>23550</xdr:rowOff>
    </xdr:to>
    <xdr:pic>
      <xdr:nvPicPr>
        <xdr:cNvPr id="25" name="Picture 24" descr="https://vignette4.wikia.nocookie.net/castle-clash/images/1/16/HC_Siren.png/revision/latest/scale-to-width-down/96?cb=20150517153746">
          <a:extLst>
            <a:ext uri="{FF2B5EF4-FFF2-40B4-BE49-F238E27FC236}">
              <a16:creationId xmlns:a16="http://schemas.microsoft.com/office/drawing/2014/main" id="{121101FD-79BA-459E-8E3B-A82EC09411F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057650" y="971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7</xdr:row>
      <xdr:rowOff>19050</xdr:rowOff>
    </xdr:from>
    <xdr:to>
      <xdr:col>14</xdr:col>
      <xdr:colOff>29085</xdr:colOff>
      <xdr:row>10</xdr:row>
      <xdr:rowOff>23550</xdr:rowOff>
    </xdr:to>
    <xdr:pic>
      <xdr:nvPicPr>
        <xdr:cNvPr id="26" name="Picture 25" descr="https://vignette4.wikia.nocookie.net/castle-clash/images/2/20/HC_Phantom_King.png/revision/latest/scale-to-width-down/96?cb=20160303121013">
          <a:extLst>
            <a:ext uri="{FF2B5EF4-FFF2-40B4-BE49-F238E27FC236}">
              <a16:creationId xmlns:a16="http://schemas.microsoft.com/office/drawing/2014/main" id="{2F1B8FC6-1A7C-45C7-A4F4-0F2EF356405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00675" y="9715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13</xdr:row>
      <xdr:rowOff>19050</xdr:rowOff>
    </xdr:from>
    <xdr:to>
      <xdr:col>2</xdr:col>
      <xdr:colOff>29085</xdr:colOff>
      <xdr:row>16</xdr:row>
      <xdr:rowOff>23550</xdr:rowOff>
    </xdr:to>
    <xdr:pic>
      <xdr:nvPicPr>
        <xdr:cNvPr id="33" name="Picture 32" descr="https://vignette3.wikia.nocookie.net/castle-clash/images/0/04/HC_Pumpkin_Duke.png/revision/latest/scale-to-width-down/96?cb=20150203091132">
          <a:extLst>
            <a:ext uri="{FF2B5EF4-FFF2-40B4-BE49-F238E27FC236}">
              <a16:creationId xmlns:a16="http://schemas.microsoft.com/office/drawing/2014/main" id="{67ADB3BF-6AF2-4FFB-8E95-11CD3CC0686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575"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13</xdr:row>
      <xdr:rowOff>19050</xdr:rowOff>
    </xdr:from>
    <xdr:to>
      <xdr:col>5</xdr:col>
      <xdr:colOff>29085</xdr:colOff>
      <xdr:row>16</xdr:row>
      <xdr:rowOff>23550</xdr:rowOff>
    </xdr:to>
    <xdr:pic>
      <xdr:nvPicPr>
        <xdr:cNvPr id="34" name="Picture 33" descr="https://vignette4.wikia.nocookie.net/castle-clash/images/7/78/HC_Snowzilla.png/revision/latest/scale-to-width-down/96?cb=20150203091236">
          <a:extLst>
            <a:ext uri="{FF2B5EF4-FFF2-40B4-BE49-F238E27FC236}">
              <a16:creationId xmlns:a16="http://schemas.microsoft.com/office/drawing/2014/main" id="{D1F5896D-D74C-486E-8C7E-C2E1C32727B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0"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13</xdr:row>
      <xdr:rowOff>19050</xdr:rowOff>
    </xdr:from>
    <xdr:to>
      <xdr:col>8</xdr:col>
      <xdr:colOff>29085</xdr:colOff>
      <xdr:row>16</xdr:row>
      <xdr:rowOff>23550</xdr:rowOff>
    </xdr:to>
    <xdr:pic>
      <xdr:nvPicPr>
        <xdr:cNvPr id="35" name="Picture 34" descr="https://vignette3.wikia.nocookie.net/castle-clash/images/e/e5/HC_Cupid.png/revision/latest/scale-to-width-down/96?cb=20150203090527">
          <a:extLst>
            <a:ext uri="{FF2B5EF4-FFF2-40B4-BE49-F238E27FC236}">
              <a16:creationId xmlns:a16="http://schemas.microsoft.com/office/drawing/2014/main" id="{4DA78FB3-BED5-461C-B884-C033FE2E4C0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14625"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13</xdr:row>
      <xdr:rowOff>19050</xdr:rowOff>
    </xdr:from>
    <xdr:to>
      <xdr:col>11</xdr:col>
      <xdr:colOff>29085</xdr:colOff>
      <xdr:row>16</xdr:row>
      <xdr:rowOff>23550</xdr:rowOff>
    </xdr:to>
    <xdr:pic>
      <xdr:nvPicPr>
        <xdr:cNvPr id="36" name="Picture 35" descr="https://vignette2.wikia.nocookie.net/castle-clash/images/2/20/HC_Aries.png/revision/latest/scale-to-width-down/96?cb=20150203090427">
          <a:extLst>
            <a:ext uri="{FF2B5EF4-FFF2-40B4-BE49-F238E27FC236}">
              <a16:creationId xmlns:a16="http://schemas.microsoft.com/office/drawing/2014/main" id="{18EAF345-D2B0-4615-B68F-C124EF85F5A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57650"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13</xdr:row>
      <xdr:rowOff>19050</xdr:rowOff>
    </xdr:from>
    <xdr:to>
      <xdr:col>14</xdr:col>
      <xdr:colOff>29085</xdr:colOff>
      <xdr:row>16</xdr:row>
      <xdr:rowOff>23550</xdr:rowOff>
    </xdr:to>
    <xdr:pic>
      <xdr:nvPicPr>
        <xdr:cNvPr id="37" name="Picture 36" descr="https://vignette3.wikia.nocookie.net/castle-clash/images/6/66/HC_Vlad_Dracula.png/revision/latest/scale-to-width-down/96?cb=20150517153845">
          <a:extLst>
            <a:ext uri="{FF2B5EF4-FFF2-40B4-BE49-F238E27FC236}">
              <a16:creationId xmlns:a16="http://schemas.microsoft.com/office/drawing/2014/main" id="{8A8AFF0F-9322-4C30-B403-35FB6B335C8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400675"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28575</xdr:colOff>
      <xdr:row>13</xdr:row>
      <xdr:rowOff>19050</xdr:rowOff>
    </xdr:from>
    <xdr:to>
      <xdr:col>17</xdr:col>
      <xdr:colOff>29085</xdr:colOff>
      <xdr:row>16</xdr:row>
      <xdr:rowOff>23550</xdr:rowOff>
    </xdr:to>
    <xdr:pic>
      <xdr:nvPicPr>
        <xdr:cNvPr id="38" name="Picture 37" descr="https://vignette4.wikia.nocookie.net/castle-clash/images/7/74/HC_Death_Knight.png/revision/latest/scale-to-width-down/96?cb=20150517161503">
          <a:extLst>
            <a:ext uri="{FF2B5EF4-FFF2-40B4-BE49-F238E27FC236}">
              <a16:creationId xmlns:a16="http://schemas.microsoft.com/office/drawing/2014/main" id="{07AB0715-08F9-42B1-A9D2-A40C8003AAA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743700" y="1924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17</xdr:row>
      <xdr:rowOff>19050</xdr:rowOff>
    </xdr:from>
    <xdr:to>
      <xdr:col>2</xdr:col>
      <xdr:colOff>29085</xdr:colOff>
      <xdr:row>20</xdr:row>
      <xdr:rowOff>23550</xdr:rowOff>
    </xdr:to>
    <xdr:pic>
      <xdr:nvPicPr>
        <xdr:cNvPr id="45" name="Picture 44" descr="https://vignette1.wikia.nocookie.net/castle-clash/images/8/81/HC_Orksbane.png/revision/latest/scale-to-width-down/96?cb=20150517154108">
          <a:extLst>
            <a:ext uri="{FF2B5EF4-FFF2-40B4-BE49-F238E27FC236}">
              <a16:creationId xmlns:a16="http://schemas.microsoft.com/office/drawing/2014/main" id="{E6A9FCFF-9EA3-4B5D-840F-31D5D74B396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8575"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17</xdr:row>
      <xdr:rowOff>19050</xdr:rowOff>
    </xdr:from>
    <xdr:to>
      <xdr:col>5</xdr:col>
      <xdr:colOff>29085</xdr:colOff>
      <xdr:row>20</xdr:row>
      <xdr:rowOff>23550</xdr:rowOff>
    </xdr:to>
    <xdr:pic>
      <xdr:nvPicPr>
        <xdr:cNvPr id="46" name="Picture 45" descr="https://vignette4.wikia.nocookie.net/castle-clash/images/6/6f/HC_Santa_Boom.png/revision/latest/scale-to-width-down/96?cb=20150517155132">
          <a:extLst>
            <a:ext uri="{FF2B5EF4-FFF2-40B4-BE49-F238E27FC236}">
              <a16:creationId xmlns:a16="http://schemas.microsoft.com/office/drawing/2014/main" id="{DA735055-3F9E-4D8B-89C1-0B902834CE5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1600"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17</xdr:row>
      <xdr:rowOff>19050</xdr:rowOff>
    </xdr:from>
    <xdr:to>
      <xdr:col>8</xdr:col>
      <xdr:colOff>29085</xdr:colOff>
      <xdr:row>20</xdr:row>
      <xdr:rowOff>23550</xdr:rowOff>
    </xdr:to>
    <xdr:pic>
      <xdr:nvPicPr>
        <xdr:cNvPr id="47" name="Picture 46" descr="https://vignette1.wikia.nocookie.net/castle-clash/images/3/39/HC_Pixie.png/revision/latest/scale-to-width-down/96?cb=20150517161048">
          <a:extLst>
            <a:ext uri="{FF2B5EF4-FFF2-40B4-BE49-F238E27FC236}">
              <a16:creationId xmlns:a16="http://schemas.microsoft.com/office/drawing/2014/main" id="{67FA3D86-B401-4F08-86E0-F3F2D5627AF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714625"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17</xdr:row>
      <xdr:rowOff>19050</xdr:rowOff>
    </xdr:from>
    <xdr:to>
      <xdr:col>11</xdr:col>
      <xdr:colOff>29085</xdr:colOff>
      <xdr:row>20</xdr:row>
      <xdr:rowOff>23550</xdr:rowOff>
    </xdr:to>
    <xdr:pic>
      <xdr:nvPicPr>
        <xdr:cNvPr id="48" name="Picture 47" descr="https://vignette2.wikia.nocookie.net/castle-clash/images/d/d6/HC_Warlock.png/revision/latest/scale-to-width-down/96?cb=20150517161626">
          <a:extLst>
            <a:ext uri="{FF2B5EF4-FFF2-40B4-BE49-F238E27FC236}">
              <a16:creationId xmlns:a16="http://schemas.microsoft.com/office/drawing/2014/main" id="{5D743F50-7D20-4625-86F1-64C5301A329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057650"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17</xdr:row>
      <xdr:rowOff>19050</xdr:rowOff>
    </xdr:from>
    <xdr:to>
      <xdr:col>14</xdr:col>
      <xdr:colOff>29085</xdr:colOff>
      <xdr:row>20</xdr:row>
      <xdr:rowOff>23550</xdr:rowOff>
    </xdr:to>
    <xdr:pic>
      <xdr:nvPicPr>
        <xdr:cNvPr id="49" name="Picture 48" descr="https://vignette3.wikia.nocookie.net/castle-clash/images/e/e3/HC_Treantaur.png/revision/latest/scale-to-width-down/96?cb=20150717075314">
          <a:extLst>
            <a:ext uri="{FF2B5EF4-FFF2-40B4-BE49-F238E27FC236}">
              <a16:creationId xmlns:a16="http://schemas.microsoft.com/office/drawing/2014/main" id="{38017247-3713-4C3B-A81A-B1126C2EA35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400675"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28575</xdr:colOff>
      <xdr:row>17</xdr:row>
      <xdr:rowOff>19050</xdr:rowOff>
    </xdr:from>
    <xdr:to>
      <xdr:col>17</xdr:col>
      <xdr:colOff>29085</xdr:colOff>
      <xdr:row>20</xdr:row>
      <xdr:rowOff>23550</xdr:rowOff>
    </xdr:to>
    <xdr:pic>
      <xdr:nvPicPr>
        <xdr:cNvPr id="50" name="Picture 49" descr="https://vignette4.wikia.nocookie.net/castle-clash/images/1/13/HC_Harpy_Queen.png/revision/latest/scale-to-width-down/96?cb=20150717075313">
          <a:extLst>
            <a:ext uri="{FF2B5EF4-FFF2-40B4-BE49-F238E27FC236}">
              <a16:creationId xmlns:a16="http://schemas.microsoft.com/office/drawing/2014/main" id="{49384FBB-3A7C-49B8-9B29-F1354D62CD1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743700" y="2686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21</xdr:row>
      <xdr:rowOff>19050</xdr:rowOff>
    </xdr:from>
    <xdr:to>
      <xdr:col>2</xdr:col>
      <xdr:colOff>29085</xdr:colOff>
      <xdr:row>24</xdr:row>
      <xdr:rowOff>23550</xdr:rowOff>
    </xdr:to>
    <xdr:pic>
      <xdr:nvPicPr>
        <xdr:cNvPr id="57" name="Picture 56" descr="https://vignette1.wikia.nocookie.net/castle-clash/images/a/af/HC_Skull_Knight.png/revision/latest/scale-to-width-down/96?cb=20151031232916">
          <a:extLst>
            <a:ext uri="{FF2B5EF4-FFF2-40B4-BE49-F238E27FC236}">
              <a16:creationId xmlns:a16="http://schemas.microsoft.com/office/drawing/2014/main" id="{92DC0693-9900-4844-BBE5-9BA5B5274E9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575"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21</xdr:row>
      <xdr:rowOff>19050</xdr:rowOff>
    </xdr:from>
    <xdr:to>
      <xdr:col>5</xdr:col>
      <xdr:colOff>29085</xdr:colOff>
      <xdr:row>24</xdr:row>
      <xdr:rowOff>23550</xdr:rowOff>
    </xdr:to>
    <xdr:pic>
      <xdr:nvPicPr>
        <xdr:cNvPr id="58" name="Picture 57" descr="https://vignette2.wikia.nocookie.net/castle-clash/images/7/73/HC_Dread_Drake.png/revision/latest/scale-to-width-down/96?cb=20151031232914">
          <a:extLst>
            <a:ext uri="{FF2B5EF4-FFF2-40B4-BE49-F238E27FC236}">
              <a16:creationId xmlns:a16="http://schemas.microsoft.com/office/drawing/2014/main" id="{269F6C61-009A-46DD-89A9-8DCF8D06853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371600"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21</xdr:row>
      <xdr:rowOff>19050</xdr:rowOff>
    </xdr:from>
    <xdr:to>
      <xdr:col>8</xdr:col>
      <xdr:colOff>29085</xdr:colOff>
      <xdr:row>24</xdr:row>
      <xdr:rowOff>23550</xdr:rowOff>
    </xdr:to>
    <xdr:pic>
      <xdr:nvPicPr>
        <xdr:cNvPr id="59" name="Picture 58" descr="https://vignette2.wikia.nocookie.net/castle-clash/images/2/2f/HC_Ghoulem.png/revision/latest/scale-to-width-down/96?cb=20151028103851">
          <a:extLst>
            <a:ext uri="{FF2B5EF4-FFF2-40B4-BE49-F238E27FC236}">
              <a16:creationId xmlns:a16="http://schemas.microsoft.com/office/drawing/2014/main" id="{6DFAEAD6-711E-41CA-B28C-FFAE1368702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714625"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21</xdr:row>
      <xdr:rowOff>19050</xdr:rowOff>
    </xdr:from>
    <xdr:to>
      <xdr:col>11</xdr:col>
      <xdr:colOff>29085</xdr:colOff>
      <xdr:row>24</xdr:row>
      <xdr:rowOff>23550</xdr:rowOff>
    </xdr:to>
    <xdr:pic>
      <xdr:nvPicPr>
        <xdr:cNvPr id="60" name="Picture 59" descr="https://vignette3.wikia.nocookie.net/castle-clash/images/6/6d/HC_Candy_Kane.png/revision/latest/scale-to-width-down/96?cb=20151127125933">
          <a:extLst>
            <a:ext uri="{FF2B5EF4-FFF2-40B4-BE49-F238E27FC236}">
              <a16:creationId xmlns:a16="http://schemas.microsoft.com/office/drawing/2014/main" id="{B1298D1B-6A9C-4593-83EE-12F329E63C7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057650"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21</xdr:row>
      <xdr:rowOff>19050</xdr:rowOff>
    </xdr:from>
    <xdr:to>
      <xdr:col>14</xdr:col>
      <xdr:colOff>29085</xdr:colOff>
      <xdr:row>24</xdr:row>
      <xdr:rowOff>23550</xdr:rowOff>
    </xdr:to>
    <xdr:pic>
      <xdr:nvPicPr>
        <xdr:cNvPr id="61" name="Picture 60" descr="https://vignette2.wikia.nocookie.net/castle-clash/images/6/65/HC_Valentina.png/revision/latest/scale-to-width-down/96?cb=20160128120211">
          <a:extLst>
            <a:ext uri="{FF2B5EF4-FFF2-40B4-BE49-F238E27FC236}">
              <a16:creationId xmlns:a16="http://schemas.microsoft.com/office/drawing/2014/main" id="{B0D45AC9-8988-42FF-8D1F-3C28564F95C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00675"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28575</xdr:colOff>
      <xdr:row>21</xdr:row>
      <xdr:rowOff>19050</xdr:rowOff>
    </xdr:from>
    <xdr:to>
      <xdr:col>17</xdr:col>
      <xdr:colOff>29085</xdr:colOff>
      <xdr:row>24</xdr:row>
      <xdr:rowOff>23550</xdr:rowOff>
    </xdr:to>
    <xdr:pic>
      <xdr:nvPicPr>
        <xdr:cNvPr id="62" name="Picture 61" descr="https://vignette4.wikia.nocookie.net/castle-clash/images/a/ac/HC_Beast_Tamer.png/revision/latest/scale-to-width-down/96?cb=20160407130942">
          <a:extLst>
            <a:ext uri="{FF2B5EF4-FFF2-40B4-BE49-F238E27FC236}">
              <a16:creationId xmlns:a16="http://schemas.microsoft.com/office/drawing/2014/main" id="{E86BEA06-AA22-4062-B832-C498E22ACA9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743700" y="3448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25</xdr:row>
      <xdr:rowOff>19050</xdr:rowOff>
    </xdr:from>
    <xdr:to>
      <xdr:col>2</xdr:col>
      <xdr:colOff>29085</xdr:colOff>
      <xdr:row>28</xdr:row>
      <xdr:rowOff>23550</xdr:rowOff>
    </xdr:to>
    <xdr:pic>
      <xdr:nvPicPr>
        <xdr:cNvPr id="69" name="Picture 68" descr="https://vignette1.wikia.nocookie.net/castle-clash/images/7/76/HC_Lady_Leo.png/revision/latest/scale-to-width-down/96?cb=20160505220202">
          <a:extLst>
            <a:ext uri="{FF2B5EF4-FFF2-40B4-BE49-F238E27FC236}">
              <a16:creationId xmlns:a16="http://schemas.microsoft.com/office/drawing/2014/main" id="{10889B8F-46C5-4B90-8587-D264169D8B7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575"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25</xdr:row>
      <xdr:rowOff>19050</xdr:rowOff>
    </xdr:from>
    <xdr:to>
      <xdr:col>5</xdr:col>
      <xdr:colOff>29085</xdr:colOff>
      <xdr:row>28</xdr:row>
      <xdr:rowOff>23550</xdr:rowOff>
    </xdr:to>
    <xdr:pic>
      <xdr:nvPicPr>
        <xdr:cNvPr id="70" name="Picture 69" descr="https://vignette1.wikia.nocookie.net/castle-clash/images/8/83/HC_Grimfiend.png/revision/latest/scale-to-width-down/96?cb=20160607222539">
          <a:extLst>
            <a:ext uri="{FF2B5EF4-FFF2-40B4-BE49-F238E27FC236}">
              <a16:creationId xmlns:a16="http://schemas.microsoft.com/office/drawing/2014/main" id="{5184438D-4973-4F9B-9E7B-0E45236130A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71600"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25</xdr:row>
      <xdr:rowOff>19050</xdr:rowOff>
    </xdr:from>
    <xdr:to>
      <xdr:col>8</xdr:col>
      <xdr:colOff>29085</xdr:colOff>
      <xdr:row>28</xdr:row>
      <xdr:rowOff>23550</xdr:rowOff>
    </xdr:to>
    <xdr:pic>
      <xdr:nvPicPr>
        <xdr:cNvPr id="71" name="Picture 70" descr="https://vignette3.wikia.nocookie.net/castle-clash/images/b/b2/HC_Dracax.png/revision/latest/scale-to-width-down/96?cb=20160706174935">
          <a:extLst>
            <a:ext uri="{FF2B5EF4-FFF2-40B4-BE49-F238E27FC236}">
              <a16:creationId xmlns:a16="http://schemas.microsoft.com/office/drawing/2014/main" id="{BCA03595-584E-4223-9ADE-1CD118A4C7C7}"/>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714625"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25</xdr:row>
      <xdr:rowOff>19050</xdr:rowOff>
    </xdr:from>
    <xdr:to>
      <xdr:col>11</xdr:col>
      <xdr:colOff>29085</xdr:colOff>
      <xdr:row>28</xdr:row>
      <xdr:rowOff>23550</xdr:rowOff>
    </xdr:to>
    <xdr:pic>
      <xdr:nvPicPr>
        <xdr:cNvPr id="72" name="Picture 71" descr="https://vignette4.wikia.nocookie.net/castle-clash/images/3/37/HC_Medusa.png/revision/latest/scale-to-width-down/96?cb=20160805090246">
          <a:extLst>
            <a:ext uri="{FF2B5EF4-FFF2-40B4-BE49-F238E27FC236}">
              <a16:creationId xmlns:a16="http://schemas.microsoft.com/office/drawing/2014/main" id="{BF8C7F6C-789D-4D72-A712-A539596F5264}"/>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057650"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25</xdr:row>
      <xdr:rowOff>19050</xdr:rowOff>
    </xdr:from>
    <xdr:to>
      <xdr:col>14</xdr:col>
      <xdr:colOff>29085</xdr:colOff>
      <xdr:row>28</xdr:row>
      <xdr:rowOff>23550</xdr:rowOff>
    </xdr:to>
    <xdr:pic>
      <xdr:nvPicPr>
        <xdr:cNvPr id="73" name="Picture 72" descr="https://vignette3.wikia.nocookie.net/castle-clash/images/3/34/HC_Trixie_Treat.png/revision/latest/scale-to-width-down/96?cb=20161014101801">
          <a:extLst>
            <a:ext uri="{FF2B5EF4-FFF2-40B4-BE49-F238E27FC236}">
              <a16:creationId xmlns:a16="http://schemas.microsoft.com/office/drawing/2014/main" id="{D2FC9E8B-3397-41B2-9700-A812D516A5F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400675"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28575</xdr:colOff>
      <xdr:row>25</xdr:row>
      <xdr:rowOff>19050</xdr:rowOff>
    </xdr:from>
    <xdr:to>
      <xdr:col>17</xdr:col>
      <xdr:colOff>29085</xdr:colOff>
      <xdr:row>28</xdr:row>
      <xdr:rowOff>23550</xdr:rowOff>
    </xdr:to>
    <xdr:pic>
      <xdr:nvPicPr>
        <xdr:cNvPr id="74" name="Picture 73" descr="https://vignette4.wikia.nocookie.net/castle-clash/images/c/cc/HC_Revenant.png/revision/latest/scale-to-width-down/96?cb=20161117153753">
          <a:extLst>
            <a:ext uri="{FF2B5EF4-FFF2-40B4-BE49-F238E27FC236}">
              <a16:creationId xmlns:a16="http://schemas.microsoft.com/office/drawing/2014/main" id="{713A3B1B-D5B0-480B-9A52-BA6E40EFAAE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743700" y="4210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29</xdr:row>
      <xdr:rowOff>19050</xdr:rowOff>
    </xdr:from>
    <xdr:to>
      <xdr:col>2</xdr:col>
      <xdr:colOff>29085</xdr:colOff>
      <xdr:row>32</xdr:row>
      <xdr:rowOff>23550</xdr:rowOff>
    </xdr:to>
    <xdr:pic>
      <xdr:nvPicPr>
        <xdr:cNvPr id="80" name="Picture 79" descr="https://vignette2.wikia.nocookie.net/castle-clash/images/d/dd/HC_Lil_Nick.png/revision/latest/scale-to-width-down/96?cb=20161213090632">
          <a:extLst>
            <a:ext uri="{FF2B5EF4-FFF2-40B4-BE49-F238E27FC236}">
              <a16:creationId xmlns:a16="http://schemas.microsoft.com/office/drawing/2014/main" id="{B0FE80BD-DB42-4A7D-B677-81EBEA5CC0BF}"/>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575" y="4972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29</xdr:row>
      <xdr:rowOff>19050</xdr:rowOff>
    </xdr:from>
    <xdr:to>
      <xdr:col>5</xdr:col>
      <xdr:colOff>29085</xdr:colOff>
      <xdr:row>32</xdr:row>
      <xdr:rowOff>23550</xdr:rowOff>
    </xdr:to>
    <xdr:pic>
      <xdr:nvPicPr>
        <xdr:cNvPr id="81" name="Picture 80" descr="https://vignette3.wikia.nocookie.net/castle-clash/images/4/4b/HC_Michael.png/revision/latest/scale-to-width-down/96?cb=20170116001219">
          <a:extLst>
            <a:ext uri="{FF2B5EF4-FFF2-40B4-BE49-F238E27FC236}">
              <a16:creationId xmlns:a16="http://schemas.microsoft.com/office/drawing/2014/main" id="{85252FC8-2FCC-423E-94E3-C46F147E0C8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371600" y="4972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29</xdr:row>
      <xdr:rowOff>19050</xdr:rowOff>
    </xdr:from>
    <xdr:to>
      <xdr:col>8</xdr:col>
      <xdr:colOff>29085</xdr:colOff>
      <xdr:row>32</xdr:row>
      <xdr:rowOff>23550</xdr:rowOff>
    </xdr:to>
    <xdr:pic>
      <xdr:nvPicPr>
        <xdr:cNvPr id="82" name="Picture 81" descr="https://vignette3.wikia.nocookie.net/castle-clash/images/8/85/HC_Heartbreaker.png/revision/latest/scale-to-width-down/96?cb=20170208211920">
          <a:extLst>
            <a:ext uri="{FF2B5EF4-FFF2-40B4-BE49-F238E27FC236}">
              <a16:creationId xmlns:a16="http://schemas.microsoft.com/office/drawing/2014/main" id="{5A7DBB1D-1BE4-4381-AD72-5FBD9DA3270F}"/>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714625" y="4972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28575</xdr:colOff>
      <xdr:row>29</xdr:row>
      <xdr:rowOff>19050</xdr:rowOff>
    </xdr:from>
    <xdr:to>
      <xdr:col>11</xdr:col>
      <xdr:colOff>29085</xdr:colOff>
      <xdr:row>32</xdr:row>
      <xdr:rowOff>23550</xdr:rowOff>
    </xdr:to>
    <xdr:pic>
      <xdr:nvPicPr>
        <xdr:cNvPr id="83" name="Picture 82" descr="https://vignette2.wikia.nocookie.net/castle-clash/images/b/b4/HC_Anubis.png/revision/latest/scale-to-width-down/96?cb=20170309113609">
          <a:extLst>
            <a:ext uri="{FF2B5EF4-FFF2-40B4-BE49-F238E27FC236}">
              <a16:creationId xmlns:a16="http://schemas.microsoft.com/office/drawing/2014/main" id="{2260B219-72D5-4FCB-8465-17460FD4A13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057650" y="4972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29</xdr:row>
      <xdr:rowOff>19050</xdr:rowOff>
    </xdr:from>
    <xdr:to>
      <xdr:col>14</xdr:col>
      <xdr:colOff>29085</xdr:colOff>
      <xdr:row>32</xdr:row>
      <xdr:rowOff>23550</xdr:rowOff>
    </xdr:to>
    <xdr:pic>
      <xdr:nvPicPr>
        <xdr:cNvPr id="84" name="Picture 83" descr="https://vignette3.wikia.nocookie.net/castle-clash/images/3/31/HC_Ronin.png/revision/latest/scale-to-width-down/96?cb=20170414141204">
          <a:extLst>
            <a:ext uri="{FF2B5EF4-FFF2-40B4-BE49-F238E27FC236}">
              <a16:creationId xmlns:a16="http://schemas.microsoft.com/office/drawing/2014/main" id="{78899C03-880A-478A-BA8A-43B996048916}"/>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400675" y="497205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21981</xdr:colOff>
      <xdr:row>3</xdr:row>
      <xdr:rowOff>14654</xdr:rowOff>
    </xdr:from>
    <xdr:to>
      <xdr:col>17</xdr:col>
      <xdr:colOff>22491</xdr:colOff>
      <xdr:row>6</xdr:row>
      <xdr:rowOff>19154</xdr:rowOff>
    </xdr:to>
    <xdr:pic>
      <xdr:nvPicPr>
        <xdr:cNvPr id="93" name="Picture 92" descr="https://vignette2.wikia.nocookie.net/castle-clash/images/0/03/HC_Thunder_God.png/revision/latest/scale-to-width-down/96?cb=20150203091426">
          <a:extLst>
            <a:ext uri="{FF2B5EF4-FFF2-40B4-BE49-F238E27FC236}">
              <a16:creationId xmlns:a16="http://schemas.microsoft.com/office/drawing/2014/main" id="{54224762-73B7-4580-961F-E775B2D3FA92}"/>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726116" y="205154"/>
          <a:ext cx="550029"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35</xdr:row>
      <xdr:rowOff>19050</xdr:rowOff>
    </xdr:from>
    <xdr:to>
      <xdr:col>2</xdr:col>
      <xdr:colOff>29085</xdr:colOff>
      <xdr:row>38</xdr:row>
      <xdr:rowOff>23550</xdr:rowOff>
    </xdr:to>
    <xdr:pic>
      <xdr:nvPicPr>
        <xdr:cNvPr id="142" name="Picture 141" descr="https://vignette1.wikia.nocookie.net/castle-clash/images/2/26/HC_Spirit_Mage.png/revision/latest/scale-to-width-down/96?cb=20150517170257">
          <a:extLst>
            <a:ext uri="{FF2B5EF4-FFF2-40B4-BE49-F238E27FC236}">
              <a16:creationId xmlns:a16="http://schemas.microsoft.com/office/drawing/2014/main" id="{2FF636FE-0F64-4E82-BDC8-609FF9549B4E}"/>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9550" y="685800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28576</xdr:colOff>
      <xdr:row>35</xdr:row>
      <xdr:rowOff>19050</xdr:rowOff>
    </xdr:from>
    <xdr:to>
      <xdr:col>5</xdr:col>
      <xdr:colOff>589</xdr:colOff>
      <xdr:row>37</xdr:row>
      <xdr:rowOff>178050</xdr:rowOff>
    </xdr:to>
    <xdr:pic>
      <xdr:nvPicPr>
        <xdr:cNvPr id="143" name="Picture 142" descr="http://en.casclash.com/icon/bag/item0226.png">
          <a:extLst>
            <a:ext uri="{FF2B5EF4-FFF2-40B4-BE49-F238E27FC236}">
              <a16:creationId xmlns:a16="http://schemas.microsoft.com/office/drawing/2014/main" id="{BDEEA50C-7C51-46F3-B2E7-19567D59E09A}"/>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552576" y="6858000"/>
          <a:ext cx="519700" cy="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35</xdr:row>
      <xdr:rowOff>19050</xdr:rowOff>
    </xdr:from>
    <xdr:to>
      <xdr:col>7</xdr:col>
      <xdr:colOff>546975</xdr:colOff>
      <xdr:row>37</xdr:row>
      <xdr:rowOff>178050</xdr:rowOff>
    </xdr:to>
    <xdr:pic>
      <xdr:nvPicPr>
        <xdr:cNvPr id="144" name="Picture 143" descr="https://vignette4.wikia.nocookie.net/castle-clash/images/d/df/HC_Destroyer.png/revision/latest/scale-to-width-down/96?cb=20150517163713">
          <a:extLst>
            <a:ext uri="{FF2B5EF4-FFF2-40B4-BE49-F238E27FC236}">
              <a16:creationId xmlns:a16="http://schemas.microsoft.com/office/drawing/2014/main" id="{2EDB4040-20BF-4E19-AFCC-AD493143EFD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895600" y="6858000"/>
          <a:ext cx="518400" cy="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39</xdr:row>
      <xdr:rowOff>19050</xdr:rowOff>
    </xdr:from>
    <xdr:to>
      <xdr:col>2</xdr:col>
      <xdr:colOff>29085</xdr:colOff>
      <xdr:row>42</xdr:row>
      <xdr:rowOff>23550</xdr:rowOff>
    </xdr:to>
    <xdr:pic>
      <xdr:nvPicPr>
        <xdr:cNvPr id="148" name="Picture 147" descr="https://vignette3.wikia.nocookie.net/castle-clash/images/1/1c/HC_Moltanica.png/revision/latest/scale-to-width-down/96?cb=20150517162426">
          <a:extLst>
            <a:ext uri="{FF2B5EF4-FFF2-40B4-BE49-F238E27FC236}">
              <a16:creationId xmlns:a16="http://schemas.microsoft.com/office/drawing/2014/main" id="{A2465724-0D88-4B6D-BA6E-63854D33299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9550" y="762000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39</xdr:row>
      <xdr:rowOff>19050</xdr:rowOff>
    </xdr:from>
    <xdr:to>
      <xdr:col>4</xdr:col>
      <xdr:colOff>546975</xdr:colOff>
      <xdr:row>41</xdr:row>
      <xdr:rowOff>178050</xdr:rowOff>
    </xdr:to>
    <xdr:pic>
      <xdr:nvPicPr>
        <xdr:cNvPr id="149" name="Picture 148" descr="https://vignette3.wikia.nocookie.net/castle-clash/images/6/6c/HC_Arctica.png/revision/latest/scale-to-width-down/96?cb=20151231003916">
          <a:extLst>
            <a:ext uri="{FF2B5EF4-FFF2-40B4-BE49-F238E27FC236}">
              <a16:creationId xmlns:a16="http://schemas.microsoft.com/office/drawing/2014/main" id="{7D30FF81-75BD-43DB-BD0F-B9F050240DD5}"/>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552575" y="7620000"/>
          <a:ext cx="518400" cy="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xdr:colOff>
      <xdr:row>39</xdr:row>
      <xdr:rowOff>19050</xdr:rowOff>
    </xdr:from>
    <xdr:to>
      <xdr:col>8</xdr:col>
      <xdr:colOff>29085</xdr:colOff>
      <xdr:row>42</xdr:row>
      <xdr:rowOff>23550</xdr:rowOff>
    </xdr:to>
    <xdr:pic>
      <xdr:nvPicPr>
        <xdr:cNvPr id="150" name="Picture 149" descr="https://vignette3.wikia.nocookie.net/castle-clash/images/5/52/HC_Demogorgon.png/revision/latest/scale-to-width-down/96?cb=20160913082831">
          <a:extLst>
            <a:ext uri="{FF2B5EF4-FFF2-40B4-BE49-F238E27FC236}">
              <a16:creationId xmlns:a16="http://schemas.microsoft.com/office/drawing/2014/main" id="{724DE172-4129-453A-88AD-C7D932F3695E}"/>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895600" y="7620000"/>
          <a:ext cx="552960"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19050</xdr:colOff>
      <xdr:row>1</xdr:row>
      <xdr:rowOff>47625</xdr:rowOff>
    </xdr:from>
    <xdr:to>
      <xdr:col>13</xdr:col>
      <xdr:colOff>195450</xdr:colOff>
      <xdr:row>1</xdr:row>
      <xdr:rowOff>227625</xdr:rowOff>
    </xdr:to>
    <xdr:pic>
      <xdr:nvPicPr>
        <xdr:cNvPr id="155" name="Picture 154" descr="Shard">
          <a:extLst>
            <a:ext uri="{FF2B5EF4-FFF2-40B4-BE49-F238E27FC236}">
              <a16:creationId xmlns:a16="http://schemas.microsoft.com/office/drawing/2014/main" id="{6FE401E4-3207-4637-BF29-22F5F7673015}"/>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572125" y="238125"/>
          <a:ext cx="176400" cy="1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xdr:colOff>
      <xdr:row>1</xdr:row>
      <xdr:rowOff>47625</xdr:rowOff>
    </xdr:from>
    <xdr:to>
      <xdr:col>16</xdr:col>
      <xdr:colOff>183398</xdr:colOff>
      <xdr:row>1</xdr:row>
      <xdr:rowOff>227625</xdr:rowOff>
    </xdr:to>
    <xdr:pic>
      <xdr:nvPicPr>
        <xdr:cNvPr id="157" name="Picture 156" descr="Fame">
          <a:extLst>
            <a:ext uri="{FF2B5EF4-FFF2-40B4-BE49-F238E27FC236}">
              <a16:creationId xmlns:a16="http://schemas.microsoft.com/office/drawing/2014/main" id="{32C0A102-6337-4708-BDEC-A3713D410A47}"/>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6915150" y="238125"/>
          <a:ext cx="164348" cy="1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19050</xdr:colOff>
      <xdr:row>11</xdr:row>
      <xdr:rowOff>47625</xdr:rowOff>
    </xdr:from>
    <xdr:ext cx="176400" cy="180000"/>
    <xdr:pic>
      <xdr:nvPicPr>
        <xdr:cNvPr id="158" name="Picture 157" descr="Shard">
          <a:extLst>
            <a:ext uri="{FF2B5EF4-FFF2-40B4-BE49-F238E27FC236}">
              <a16:creationId xmlns:a16="http://schemas.microsoft.com/office/drawing/2014/main" id="{1F4EAB78-7999-4967-9C58-80643666453B}"/>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572125" y="238125"/>
          <a:ext cx="176400"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19050</xdr:colOff>
      <xdr:row>11</xdr:row>
      <xdr:rowOff>47625</xdr:rowOff>
    </xdr:from>
    <xdr:ext cx="164348" cy="180000"/>
    <xdr:pic>
      <xdr:nvPicPr>
        <xdr:cNvPr id="159" name="Picture 158" descr="Fame">
          <a:extLst>
            <a:ext uri="{FF2B5EF4-FFF2-40B4-BE49-F238E27FC236}">
              <a16:creationId xmlns:a16="http://schemas.microsoft.com/office/drawing/2014/main" id="{5C401326-5EF9-4A17-9280-BAC42270A08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6915150" y="238125"/>
          <a:ext cx="164348"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19050</xdr:colOff>
      <xdr:row>33</xdr:row>
      <xdr:rowOff>47625</xdr:rowOff>
    </xdr:from>
    <xdr:ext cx="164348" cy="180000"/>
    <xdr:pic>
      <xdr:nvPicPr>
        <xdr:cNvPr id="160" name="Picture 159" descr="Fame">
          <a:extLst>
            <a:ext uri="{FF2B5EF4-FFF2-40B4-BE49-F238E27FC236}">
              <a16:creationId xmlns:a16="http://schemas.microsoft.com/office/drawing/2014/main" id="{B0CBB28F-E6BF-4309-BDBF-2F1C84D53A4E}"/>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6915150" y="238125"/>
          <a:ext cx="164348"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19050</xdr:colOff>
      <xdr:row>33</xdr:row>
      <xdr:rowOff>47625</xdr:rowOff>
    </xdr:from>
    <xdr:ext cx="176400" cy="180000"/>
    <xdr:pic>
      <xdr:nvPicPr>
        <xdr:cNvPr id="161" name="Picture 160" descr="Shard">
          <a:extLst>
            <a:ext uri="{FF2B5EF4-FFF2-40B4-BE49-F238E27FC236}">
              <a16:creationId xmlns:a16="http://schemas.microsoft.com/office/drawing/2014/main" id="{9A6BB079-0DF5-40BE-BF70-B0541486C3FA}"/>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572125" y="2200275"/>
          <a:ext cx="176400"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19050</xdr:colOff>
      <xdr:row>43</xdr:row>
      <xdr:rowOff>47625</xdr:rowOff>
    </xdr:from>
    <xdr:ext cx="164348" cy="180000"/>
    <xdr:pic>
      <xdr:nvPicPr>
        <xdr:cNvPr id="162" name="Picture 161" descr="Fame">
          <a:extLst>
            <a:ext uri="{FF2B5EF4-FFF2-40B4-BE49-F238E27FC236}">
              <a16:creationId xmlns:a16="http://schemas.microsoft.com/office/drawing/2014/main" id="{546BF8B2-12AD-4607-B88A-36580C797084}"/>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6915150" y="6448425"/>
          <a:ext cx="164348"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19050</xdr:colOff>
      <xdr:row>43</xdr:row>
      <xdr:rowOff>47625</xdr:rowOff>
    </xdr:from>
    <xdr:ext cx="176400" cy="180000"/>
    <xdr:pic>
      <xdr:nvPicPr>
        <xdr:cNvPr id="163" name="Picture 162" descr="Shard">
          <a:extLst>
            <a:ext uri="{FF2B5EF4-FFF2-40B4-BE49-F238E27FC236}">
              <a16:creationId xmlns:a16="http://schemas.microsoft.com/office/drawing/2014/main" id="{54D440BA-2ED2-4148-8F26-081FE67A75CF}"/>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572125" y="6448425"/>
          <a:ext cx="176400" cy="18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xdr:col>
      <xdr:colOff>797859</xdr:colOff>
      <xdr:row>6</xdr:row>
      <xdr:rowOff>180976</xdr:rowOff>
    </xdr:to>
    <xdr:pic>
      <xdr:nvPicPr>
        <xdr:cNvPr id="60" name="Picture 59" descr="Crest Revive">
          <a:extLst>
            <a:ext uri="{FF2B5EF4-FFF2-40B4-BE49-F238E27FC236}">
              <a16:creationId xmlns:a16="http://schemas.microsoft.com/office/drawing/2014/main" id="{CB8B3EC0-AA28-4A4F-ACD7-D94C4D5D8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476"/>
          <a:ext cx="797859"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798745</xdr:colOff>
      <xdr:row>11</xdr:row>
      <xdr:rowOff>1200</xdr:rowOff>
    </xdr:to>
    <xdr:pic>
      <xdr:nvPicPr>
        <xdr:cNvPr id="61" name="Picture 60" descr="Crest Heavy Blow">
          <a:extLst>
            <a:ext uri="{FF2B5EF4-FFF2-40B4-BE49-F238E27FC236}">
              <a16:creationId xmlns:a16="http://schemas.microsoft.com/office/drawing/2014/main" id="{6DA5DF01-16F5-4236-9E8F-6066DCE2E1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43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798745</xdr:colOff>
      <xdr:row>15</xdr:row>
      <xdr:rowOff>1200</xdr:rowOff>
    </xdr:to>
    <xdr:pic>
      <xdr:nvPicPr>
        <xdr:cNvPr id="62" name="Picture 61" descr="Crest Revitalize">
          <a:extLst>
            <a:ext uri="{FF2B5EF4-FFF2-40B4-BE49-F238E27FC236}">
              <a16:creationId xmlns:a16="http://schemas.microsoft.com/office/drawing/2014/main" id="{FD0895AD-4F1D-4730-B56A-79F02778AD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905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798745</xdr:colOff>
      <xdr:row>19</xdr:row>
      <xdr:rowOff>1200</xdr:rowOff>
    </xdr:to>
    <xdr:pic>
      <xdr:nvPicPr>
        <xdr:cNvPr id="63" name="Picture 62" descr="Crest Scorch">
          <a:extLst>
            <a:ext uri="{FF2B5EF4-FFF2-40B4-BE49-F238E27FC236}">
              <a16:creationId xmlns:a16="http://schemas.microsoft.com/office/drawing/2014/main" id="{6BAFAAB2-2DE7-45AA-9120-9B9154E260D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67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798745</xdr:colOff>
      <xdr:row>23</xdr:row>
      <xdr:rowOff>1200</xdr:rowOff>
    </xdr:to>
    <xdr:pic>
      <xdr:nvPicPr>
        <xdr:cNvPr id="64" name="Picture 63" descr="Crest Self Destruct">
          <a:extLst>
            <a:ext uri="{FF2B5EF4-FFF2-40B4-BE49-F238E27FC236}">
              <a16:creationId xmlns:a16="http://schemas.microsoft.com/office/drawing/2014/main" id="{0D0BC41E-4B93-49CD-979C-E5299D50EB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29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798745</xdr:colOff>
      <xdr:row>27</xdr:row>
      <xdr:rowOff>1200</xdr:rowOff>
    </xdr:to>
    <xdr:pic>
      <xdr:nvPicPr>
        <xdr:cNvPr id="65" name="Picture 64" descr="Crest Deadly Strike">
          <a:extLst>
            <a:ext uri="{FF2B5EF4-FFF2-40B4-BE49-F238E27FC236}">
              <a16:creationId xmlns:a16="http://schemas.microsoft.com/office/drawing/2014/main" id="{4A98B300-BD10-475E-B5E7-151E8F822A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191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798745</xdr:colOff>
      <xdr:row>31</xdr:row>
      <xdr:rowOff>1200</xdr:rowOff>
    </xdr:to>
    <xdr:pic>
      <xdr:nvPicPr>
        <xdr:cNvPr id="66" name="Picture 65" descr="Crest Flame Guard">
          <a:extLst>
            <a:ext uri="{FF2B5EF4-FFF2-40B4-BE49-F238E27FC236}">
              <a16:creationId xmlns:a16="http://schemas.microsoft.com/office/drawing/2014/main" id="{75864478-E7B5-4F95-8385-F8C9223CB4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953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798745</xdr:colOff>
      <xdr:row>35</xdr:row>
      <xdr:rowOff>1200</xdr:rowOff>
    </xdr:to>
    <xdr:pic>
      <xdr:nvPicPr>
        <xdr:cNvPr id="67" name="Picture 66" descr="Crest Blade Shell">
          <a:extLst>
            <a:ext uri="{FF2B5EF4-FFF2-40B4-BE49-F238E27FC236}">
              <a16:creationId xmlns:a16="http://schemas.microsoft.com/office/drawing/2014/main" id="{435E4DDA-6767-4918-8C78-52373206DCF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715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798745</xdr:colOff>
      <xdr:row>39</xdr:row>
      <xdr:rowOff>10725</xdr:rowOff>
    </xdr:to>
    <xdr:pic>
      <xdr:nvPicPr>
        <xdr:cNvPr id="68" name="Picture 67" descr="Crest Scatter">
          <a:extLst>
            <a:ext uri="{FF2B5EF4-FFF2-40B4-BE49-F238E27FC236}">
              <a16:creationId xmlns:a16="http://schemas.microsoft.com/office/drawing/2014/main" id="{EA7E6CFA-30C3-4C6C-A628-3B61CA1008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477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xdr:row>
      <xdr:rowOff>0</xdr:rowOff>
    </xdr:from>
    <xdr:to>
      <xdr:col>15</xdr:col>
      <xdr:colOff>798745</xdr:colOff>
      <xdr:row>15</xdr:row>
      <xdr:rowOff>1200</xdr:rowOff>
    </xdr:to>
    <xdr:pic>
      <xdr:nvPicPr>
        <xdr:cNvPr id="71" name="Picture 70" descr="Crest Berserk">
          <a:extLst>
            <a:ext uri="{FF2B5EF4-FFF2-40B4-BE49-F238E27FC236}">
              <a16:creationId xmlns:a16="http://schemas.microsoft.com/office/drawing/2014/main" id="{7D0266D0-2289-4DFD-980E-75E390359C0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86350" y="1905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15</xdr:row>
      <xdr:rowOff>0</xdr:rowOff>
    </xdr:from>
    <xdr:to>
      <xdr:col>15</xdr:col>
      <xdr:colOff>798745</xdr:colOff>
      <xdr:row>19</xdr:row>
      <xdr:rowOff>1200</xdr:rowOff>
    </xdr:to>
    <xdr:pic>
      <xdr:nvPicPr>
        <xdr:cNvPr id="72" name="Picture 71" descr="Crest Stone Skin">
          <a:extLst>
            <a:ext uri="{FF2B5EF4-FFF2-40B4-BE49-F238E27FC236}">
              <a16:creationId xmlns:a16="http://schemas.microsoft.com/office/drawing/2014/main" id="{A768693D-917B-4CBA-8E44-665D8D16408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086350" y="2667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19</xdr:row>
      <xdr:rowOff>0</xdr:rowOff>
    </xdr:from>
    <xdr:to>
      <xdr:col>15</xdr:col>
      <xdr:colOff>782770</xdr:colOff>
      <xdr:row>23</xdr:row>
      <xdr:rowOff>1200</xdr:rowOff>
    </xdr:to>
    <xdr:pic>
      <xdr:nvPicPr>
        <xdr:cNvPr id="73" name="Picture 72" descr="Crest War God">
          <a:extLst>
            <a:ext uri="{FF2B5EF4-FFF2-40B4-BE49-F238E27FC236}">
              <a16:creationId xmlns:a16="http://schemas.microsoft.com/office/drawing/2014/main" id="{9E6C287E-AB5D-49D7-B488-1AF0E08C50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086350" y="3429000"/>
          <a:ext cx="782770"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23</xdr:row>
      <xdr:rowOff>0</xdr:rowOff>
    </xdr:from>
    <xdr:to>
      <xdr:col>15</xdr:col>
      <xdr:colOff>798745</xdr:colOff>
      <xdr:row>27</xdr:row>
      <xdr:rowOff>1200</xdr:rowOff>
    </xdr:to>
    <xdr:pic>
      <xdr:nvPicPr>
        <xdr:cNvPr id="74" name="Picture 73" descr="Crest Tenacity">
          <a:extLst>
            <a:ext uri="{FF2B5EF4-FFF2-40B4-BE49-F238E27FC236}">
              <a16:creationId xmlns:a16="http://schemas.microsoft.com/office/drawing/2014/main" id="{F64AFF09-3EB5-4F86-8104-BD89D65D7BD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086350" y="4191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27</xdr:row>
      <xdr:rowOff>0</xdr:rowOff>
    </xdr:from>
    <xdr:to>
      <xdr:col>15</xdr:col>
      <xdr:colOff>798745</xdr:colOff>
      <xdr:row>31</xdr:row>
      <xdr:rowOff>1200</xdr:rowOff>
    </xdr:to>
    <xdr:pic>
      <xdr:nvPicPr>
        <xdr:cNvPr id="75" name="Picture 74" descr="Crest Life Drain">
          <a:extLst>
            <a:ext uri="{FF2B5EF4-FFF2-40B4-BE49-F238E27FC236}">
              <a16:creationId xmlns:a16="http://schemas.microsoft.com/office/drawing/2014/main" id="{8BA65145-A4BB-48D6-BA1D-D0D6D98CDE1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086350" y="4953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31</xdr:row>
      <xdr:rowOff>0</xdr:rowOff>
    </xdr:from>
    <xdr:to>
      <xdr:col>15</xdr:col>
      <xdr:colOff>798745</xdr:colOff>
      <xdr:row>35</xdr:row>
      <xdr:rowOff>1200</xdr:rowOff>
    </xdr:to>
    <xdr:pic>
      <xdr:nvPicPr>
        <xdr:cNvPr id="76" name="Picture 75" descr="Crest Bulwark">
          <a:extLst>
            <a:ext uri="{FF2B5EF4-FFF2-40B4-BE49-F238E27FC236}">
              <a16:creationId xmlns:a16="http://schemas.microsoft.com/office/drawing/2014/main" id="{E0E6F6AD-0C4F-405B-B4C6-933039F2B38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86350" y="5715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35</xdr:row>
      <xdr:rowOff>0</xdr:rowOff>
    </xdr:from>
    <xdr:to>
      <xdr:col>15</xdr:col>
      <xdr:colOff>798745</xdr:colOff>
      <xdr:row>39</xdr:row>
      <xdr:rowOff>10725</xdr:rowOff>
    </xdr:to>
    <xdr:pic>
      <xdr:nvPicPr>
        <xdr:cNvPr id="77" name="Picture 76" descr="Crest Psyshield">
          <a:extLst>
            <a:ext uri="{FF2B5EF4-FFF2-40B4-BE49-F238E27FC236}">
              <a16:creationId xmlns:a16="http://schemas.microsoft.com/office/drawing/2014/main" id="{8C225085-BF29-4649-95DA-14A2FC7322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086350" y="6477000"/>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xdr:row>
      <xdr:rowOff>0</xdr:rowOff>
    </xdr:from>
    <xdr:to>
      <xdr:col>15</xdr:col>
      <xdr:colOff>772861</xdr:colOff>
      <xdr:row>11</xdr:row>
      <xdr:rowOff>1200</xdr:rowOff>
    </xdr:to>
    <xdr:pic>
      <xdr:nvPicPr>
        <xdr:cNvPr id="22" name="Picture 21" descr="Crest Sprint">
          <a:extLst>
            <a:ext uri="{FF2B5EF4-FFF2-40B4-BE49-F238E27FC236}">
              <a16:creationId xmlns:a16="http://schemas.microsoft.com/office/drawing/2014/main" id="{F4C63978-71A0-4F80-A8A7-C25A6090238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496050" y="1143000"/>
          <a:ext cx="772861"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3</xdr:row>
      <xdr:rowOff>0</xdr:rowOff>
    </xdr:from>
    <xdr:to>
      <xdr:col>15</xdr:col>
      <xdr:colOff>798745</xdr:colOff>
      <xdr:row>6</xdr:row>
      <xdr:rowOff>182175</xdr:rowOff>
    </xdr:to>
    <xdr:pic>
      <xdr:nvPicPr>
        <xdr:cNvPr id="23" name="Picture 22" descr="Crest Slow Down">
          <a:extLst>
            <a:ext uri="{FF2B5EF4-FFF2-40B4-BE49-F238E27FC236}">
              <a16:creationId xmlns:a16="http://schemas.microsoft.com/office/drawing/2014/main" id="{99ECFF37-1F1D-4C06-A659-B5C14978535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496050" y="371475"/>
          <a:ext cx="798745" cy="76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376766</xdr:colOff>
      <xdr:row>46</xdr:row>
      <xdr:rowOff>169500</xdr:rowOff>
    </xdr:to>
    <xdr:pic>
      <xdr:nvPicPr>
        <xdr:cNvPr id="32" name="Picture 31" descr="Crest Heavy Blow">
          <a:extLst>
            <a:ext uri="{FF2B5EF4-FFF2-40B4-BE49-F238E27FC236}">
              <a16:creationId xmlns:a16="http://schemas.microsoft.com/office/drawing/2014/main" id="{A7DA0FD9-5276-4F39-823A-C96826405E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49630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376890</xdr:colOff>
      <xdr:row>44</xdr:row>
      <xdr:rowOff>169500</xdr:rowOff>
    </xdr:to>
    <xdr:pic>
      <xdr:nvPicPr>
        <xdr:cNvPr id="33" name="Picture 32" descr="Crest Revive">
          <a:extLst>
            <a:ext uri="{FF2B5EF4-FFF2-40B4-BE49-F238E27FC236}">
              <a16:creationId xmlns:a16="http://schemas.microsoft.com/office/drawing/2014/main" id="{9E118BB6-A903-451C-8D09-A4E86591A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3875"/>
          <a:ext cx="37689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376766</xdr:colOff>
      <xdr:row>48</xdr:row>
      <xdr:rowOff>169500</xdr:rowOff>
    </xdr:to>
    <xdr:pic>
      <xdr:nvPicPr>
        <xdr:cNvPr id="34" name="Picture 33" descr="Crest Revitalize">
          <a:extLst>
            <a:ext uri="{FF2B5EF4-FFF2-40B4-BE49-F238E27FC236}">
              <a16:creationId xmlns:a16="http://schemas.microsoft.com/office/drawing/2014/main" id="{1159171E-E1A1-425B-9E93-581848ECBB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85825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376766</xdr:colOff>
      <xdr:row>50</xdr:row>
      <xdr:rowOff>169500</xdr:rowOff>
    </xdr:to>
    <xdr:pic>
      <xdr:nvPicPr>
        <xdr:cNvPr id="35" name="Picture 34" descr="Crest Scorch">
          <a:extLst>
            <a:ext uri="{FF2B5EF4-FFF2-40B4-BE49-F238E27FC236}">
              <a16:creationId xmlns:a16="http://schemas.microsoft.com/office/drawing/2014/main" id="{A091E783-090E-4D89-B1C1-75805D66A7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22020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376766</xdr:colOff>
      <xdr:row>52</xdr:row>
      <xdr:rowOff>169500</xdr:rowOff>
    </xdr:to>
    <xdr:pic>
      <xdr:nvPicPr>
        <xdr:cNvPr id="36" name="Picture 35" descr="Crest Self Destruct">
          <a:extLst>
            <a:ext uri="{FF2B5EF4-FFF2-40B4-BE49-F238E27FC236}">
              <a16:creationId xmlns:a16="http://schemas.microsoft.com/office/drawing/2014/main" id="{BCC14B1A-B81D-4F88-8B1E-E1A40D7DC4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58215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376766</xdr:colOff>
      <xdr:row>54</xdr:row>
      <xdr:rowOff>169500</xdr:rowOff>
    </xdr:to>
    <xdr:pic>
      <xdr:nvPicPr>
        <xdr:cNvPr id="37" name="Picture 36" descr="Crest Deadly Strike">
          <a:extLst>
            <a:ext uri="{FF2B5EF4-FFF2-40B4-BE49-F238E27FC236}">
              <a16:creationId xmlns:a16="http://schemas.microsoft.com/office/drawing/2014/main" id="{835F489C-AA3F-4FB3-90B4-DA2A6175182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94410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376766</xdr:colOff>
      <xdr:row>56</xdr:row>
      <xdr:rowOff>169500</xdr:rowOff>
    </xdr:to>
    <xdr:pic>
      <xdr:nvPicPr>
        <xdr:cNvPr id="38" name="Picture 37" descr="Crest Flame Guard">
          <a:extLst>
            <a:ext uri="{FF2B5EF4-FFF2-40B4-BE49-F238E27FC236}">
              <a16:creationId xmlns:a16="http://schemas.microsoft.com/office/drawing/2014/main" id="{D23EECCF-0BF3-4A28-95E1-DDA1903FE8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30605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376766</xdr:colOff>
      <xdr:row>58</xdr:row>
      <xdr:rowOff>169500</xdr:rowOff>
    </xdr:to>
    <xdr:pic>
      <xdr:nvPicPr>
        <xdr:cNvPr id="39" name="Picture 38" descr="Crest Blade Shell">
          <a:extLst>
            <a:ext uri="{FF2B5EF4-FFF2-40B4-BE49-F238E27FC236}">
              <a16:creationId xmlns:a16="http://schemas.microsoft.com/office/drawing/2014/main" id="{FD8BAFB3-936F-4B9B-9C2D-F8B1EA6C4B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66800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376766</xdr:colOff>
      <xdr:row>60</xdr:row>
      <xdr:rowOff>169500</xdr:rowOff>
    </xdr:to>
    <xdr:pic>
      <xdr:nvPicPr>
        <xdr:cNvPr id="40" name="Picture 39" descr="Crest Scatter">
          <a:extLst>
            <a:ext uri="{FF2B5EF4-FFF2-40B4-BE49-F238E27FC236}">
              <a16:creationId xmlns:a16="http://schemas.microsoft.com/office/drawing/2014/main" id="{3E0A52A2-3332-4BF2-A40F-08CACAD8489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029950"/>
          <a:ext cx="376766"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376767</xdr:colOff>
      <xdr:row>62</xdr:row>
      <xdr:rowOff>169500</xdr:rowOff>
    </xdr:to>
    <xdr:pic>
      <xdr:nvPicPr>
        <xdr:cNvPr id="50" name="Picture 49" descr="Crest Slow Down">
          <a:extLst>
            <a:ext uri="{FF2B5EF4-FFF2-40B4-BE49-F238E27FC236}">
              <a16:creationId xmlns:a16="http://schemas.microsoft.com/office/drawing/2014/main" id="{F5D60ED9-3B1B-4969-918A-CF8E9966500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39190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364557</xdr:colOff>
      <xdr:row>64</xdr:row>
      <xdr:rowOff>169500</xdr:rowOff>
    </xdr:to>
    <xdr:pic>
      <xdr:nvPicPr>
        <xdr:cNvPr id="51" name="Picture 50" descr="Crest Sprint">
          <a:extLst>
            <a:ext uri="{FF2B5EF4-FFF2-40B4-BE49-F238E27FC236}">
              <a16:creationId xmlns:a16="http://schemas.microsoft.com/office/drawing/2014/main" id="{E725C6A0-59DB-4F15-9CD6-DFD6AE59B31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1753850"/>
          <a:ext cx="36455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376767</xdr:colOff>
      <xdr:row>66</xdr:row>
      <xdr:rowOff>169500</xdr:rowOff>
    </xdr:to>
    <xdr:pic>
      <xdr:nvPicPr>
        <xdr:cNvPr id="52" name="Picture 51" descr="Crest Berserk">
          <a:extLst>
            <a:ext uri="{FF2B5EF4-FFF2-40B4-BE49-F238E27FC236}">
              <a16:creationId xmlns:a16="http://schemas.microsoft.com/office/drawing/2014/main" id="{D2D13F85-058D-47D7-BE28-3173A3D3244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211580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376767</xdr:colOff>
      <xdr:row>68</xdr:row>
      <xdr:rowOff>169500</xdr:rowOff>
    </xdr:to>
    <xdr:pic>
      <xdr:nvPicPr>
        <xdr:cNvPr id="53" name="Picture 52" descr="Crest Stone Skin">
          <a:extLst>
            <a:ext uri="{FF2B5EF4-FFF2-40B4-BE49-F238E27FC236}">
              <a16:creationId xmlns:a16="http://schemas.microsoft.com/office/drawing/2014/main" id="{15B467D5-8B1C-49C1-B9A0-ACBC09827E8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247775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369231</xdr:colOff>
      <xdr:row>70</xdr:row>
      <xdr:rowOff>169500</xdr:rowOff>
    </xdr:to>
    <xdr:pic>
      <xdr:nvPicPr>
        <xdr:cNvPr id="54" name="Picture 53" descr="Crest War God">
          <a:extLst>
            <a:ext uri="{FF2B5EF4-FFF2-40B4-BE49-F238E27FC236}">
              <a16:creationId xmlns:a16="http://schemas.microsoft.com/office/drawing/2014/main" id="{ABC4429E-19BD-4042-BA6F-CC74D5B8223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2839700"/>
          <a:ext cx="369231"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376767</xdr:colOff>
      <xdr:row>72</xdr:row>
      <xdr:rowOff>169500</xdr:rowOff>
    </xdr:to>
    <xdr:pic>
      <xdr:nvPicPr>
        <xdr:cNvPr id="55" name="Picture 54" descr="Crest Tenacity">
          <a:extLst>
            <a:ext uri="{FF2B5EF4-FFF2-40B4-BE49-F238E27FC236}">
              <a16:creationId xmlns:a16="http://schemas.microsoft.com/office/drawing/2014/main" id="{E4B7E03B-5BF7-4810-B384-E45AB17E076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320165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xdr:row>
      <xdr:rowOff>0</xdr:rowOff>
    </xdr:from>
    <xdr:to>
      <xdr:col>1</xdr:col>
      <xdr:colOff>376767</xdr:colOff>
      <xdr:row>74</xdr:row>
      <xdr:rowOff>169500</xdr:rowOff>
    </xdr:to>
    <xdr:pic>
      <xdr:nvPicPr>
        <xdr:cNvPr id="56" name="Picture 55" descr="Crest Life Drain">
          <a:extLst>
            <a:ext uri="{FF2B5EF4-FFF2-40B4-BE49-F238E27FC236}">
              <a16:creationId xmlns:a16="http://schemas.microsoft.com/office/drawing/2014/main" id="{AE827498-B4F6-4C4B-B9F9-F770F2AA3A9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356360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376767</xdr:colOff>
      <xdr:row>76</xdr:row>
      <xdr:rowOff>169500</xdr:rowOff>
    </xdr:to>
    <xdr:pic>
      <xdr:nvPicPr>
        <xdr:cNvPr id="57" name="Picture 56" descr="Crest Bulwark">
          <a:extLst>
            <a:ext uri="{FF2B5EF4-FFF2-40B4-BE49-F238E27FC236}">
              <a16:creationId xmlns:a16="http://schemas.microsoft.com/office/drawing/2014/main" id="{4658390A-0346-4EC5-AFAB-A16CA33A1B6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392555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376767</xdr:colOff>
      <xdr:row>78</xdr:row>
      <xdr:rowOff>169500</xdr:rowOff>
    </xdr:to>
    <xdr:pic>
      <xdr:nvPicPr>
        <xdr:cNvPr id="58" name="Picture 57" descr="Crest Psyshield">
          <a:extLst>
            <a:ext uri="{FF2B5EF4-FFF2-40B4-BE49-F238E27FC236}">
              <a16:creationId xmlns:a16="http://schemas.microsoft.com/office/drawing/2014/main" id="{FBB29151-589B-4044-8629-5672D0E6F9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4287500"/>
          <a:ext cx="376767"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4" name="validation.evo" displayName="validation.evo" ref="A1:A4" totalsRowShown="0" headerRowDxfId="256">
  <tableColumns count="1">
    <tableColumn id="1" name="evo"/>
  </tableColumns>
  <tableStyleInfo name="TableStyleMedium11" showFirstColumn="0" showLastColumn="0" showRowStripes="1" showColumnStripes="0"/>
</table>
</file>

<file path=xl/tables/table2.xml><?xml version="1.0" encoding="utf-8"?>
<table xmlns="http://schemas.openxmlformats.org/spreadsheetml/2006/main" id="13" name="validation.type" displayName="validation.type" ref="B1:B4" totalsRowShown="0">
  <tableColumns count="1">
    <tableColumn id="1" name="type"/>
  </tableColumns>
  <tableStyleInfo name="TableStyleMedium11" showFirstColumn="0" showLastColumn="0" showRowStripes="1" showColumnStripes="0"/>
</table>
</file>

<file path=xl/tables/table3.xml><?xml version="1.0" encoding="utf-8"?>
<table xmlns="http://schemas.openxmlformats.org/spreadsheetml/2006/main" id="14" name="validation.talent" displayName="validation.talent" ref="C1:D22" totalsRowShown="0">
  <tableColumns count="2">
    <tableColumn id="1" name="talent"/>
    <tableColumn id="2" name="max" dataDxfId="255"/>
  </tableColumns>
  <tableStyleInfo name="TableStyleMedium11" showFirstColumn="0" showLastColumn="0" showRowStripes="1" showColumnStripes="0"/>
</table>
</file>

<file path=xl/tables/table4.xml><?xml version="1.0" encoding="utf-8"?>
<table xmlns="http://schemas.openxmlformats.org/spreadsheetml/2006/main" id="5" name="validation.heroes" displayName="validation.heroes" ref="G1:J63" totalsRowShown="0">
  <autoFilter ref="G1:J63"/>
  <sortState ref="G2:I63">
    <sortCondition ref="G1:G63"/>
  </sortState>
  <tableColumns count="4">
    <tableColumn id="1" name="Hero" dataDxfId="254"/>
    <tableColumn id="2" name="Type"/>
    <tableColumn id="3" name="SortKey"/>
    <tableColumn id="4" name="Type2" dataDxfId="253">
      <calculatedColumnFormula>+VLOOKUP(validation.heroes[[#This Row],[Type]],$M$2:$N$4,2,FALSE)</calculatedColumnFormula>
    </tableColumn>
  </tableColumns>
  <tableStyleInfo name="TableStyleMedium11" showFirstColumn="0" showLastColumn="0" showRowStripes="1" showColumnStripes="0"/>
</table>
</file>

<file path=xl/tables/table5.xml><?xml version="1.0" encoding="utf-8"?>
<table xmlns="http://schemas.openxmlformats.org/spreadsheetml/2006/main" id="3" name="validation.crests" displayName="validation.crests" ref="E1:F20" totalsRowShown="0">
  <tableColumns count="2">
    <tableColumn id="1" name="talent"/>
    <tableColumn id="2" name="max" dataDxfId="252"/>
  </tableColumns>
  <tableStyleInfo name="TableStyleMedium11" showFirstColumn="0" showLastColumn="0" showRowStripes="1" showColumnStripes="0"/>
</table>
</file>

<file path=xl/tables/table6.xml><?xml version="1.0" encoding="utf-8"?>
<table xmlns="http://schemas.openxmlformats.org/spreadsheetml/2006/main" id="15" name="pictures.heroes" displayName="pictures.heroes" ref="A1:D64" totalsRowShown="0" headerRowDxfId="251" dataDxfId="250">
  <autoFilter ref="A1:D64"/>
  <sortState ref="A2:C63">
    <sortCondition ref="A1:A63"/>
  </sortState>
  <tableColumns count="4">
    <tableColumn id="1" name="Hero" dataDxfId="249"/>
    <tableColumn id="2" name="Stage-1" dataDxfId="248"/>
    <tableColumn id="3" name="Stage-2" dataDxfId="247"/>
    <tableColumn id="4" name="Stage-0" dataDxfId="246"/>
  </tableColumns>
  <tableStyleInfo showFirstColumn="0" showLastColumn="0" showRowStripes="1" showColumnStripes="0"/>
</table>
</file>

<file path=xl/tables/table7.xml><?xml version="1.0" encoding="utf-8"?>
<table xmlns="http://schemas.openxmlformats.org/spreadsheetml/2006/main" id="18" name="pictures.skills" displayName="pictures.skills" ref="A1:B64" totalsRowShown="0" headerRowDxfId="245">
  <autoFilter ref="A1:B64"/>
  <tableColumns count="2">
    <tableColumn id="1" name="Hero" dataDxfId="244"/>
    <tableColumn id="2" name="Skill" dataDxfId="243"/>
  </tableColumns>
  <tableStyleInfo showFirstColumn="0" showLastColumn="0" showRowStripes="1" showColumnStripes="0"/>
</table>
</file>

<file path=xl/tables/table8.xml><?xml version="1.0" encoding="utf-8"?>
<table xmlns="http://schemas.openxmlformats.org/spreadsheetml/2006/main" id="20" name="pictures.talent1" displayName="pictures.talent1" ref="A1:B24" totalsRowShown="0" headerRowDxfId="242">
  <autoFilter ref="A1:B24"/>
  <tableColumns count="2">
    <tableColumn id="1" name="Talent" dataDxfId="241"/>
    <tableColumn id="2" name="Natural" dataDxfId="240"/>
  </tableColumns>
  <tableStyleInfo showFirstColumn="0" showLastColumn="0" showRowStripes="1" showColumnStripes="0"/>
</table>
</file>

<file path=xl/tables/table9.xml><?xml version="1.0" encoding="utf-8"?>
<table xmlns="http://schemas.openxmlformats.org/spreadsheetml/2006/main" id="17" name="pictures.talent2" displayName="pictures.talent2" ref="A1:C17" totalsRowShown="0" headerRowDxfId="239" dataDxfId="238">
  <autoFilter ref="A1:C17"/>
  <tableColumns count="3">
    <tableColumn id="1" name="Hero" dataDxfId="237"/>
    <tableColumn id="2" name="Talent2" dataDxfId="236"/>
    <tableColumn id="3" name="T2L" dataDxfId="235"/>
  </tableColumns>
  <tableStyleInfo showFirstColumn="0" showLastColumn="0" showRowStripes="1" showColumnStripes="0"/>
</table>
</file>

<file path=xl/tables/table10.xml><?xml version="1.0" encoding="utf-8"?>
<table xmlns="http://schemas.openxmlformats.org/spreadsheetml/2006/main" id="19" name="pictures.crests" displayName="pictures.crests" ref="A1:B21" totalsRowShown="0" headerRowDxfId="234">
  <autoFilter ref="A1:B21"/>
  <tableColumns count="2">
    <tableColumn id="1" name="Talent" dataDxfId="233"/>
    <tableColumn id="2" name="Crest" dataDxfId="232"/>
  </tableColumns>
  <tableStyleInfo showFirstColumn="0" showLastColumn="0" showRowStripes="1" showColumnStripes="0"/>
</table>
</file>

<file path=xl/tables/table11.xml><?xml version="1.0" encoding="utf-8"?>
<table xmlns="http://schemas.openxmlformats.org/spreadsheetml/2006/main" id="21" name="pictures.concat" displayName="pictures.concat" ref="A2:F70" totalsRowShown="0">
  <autoFilter ref="A2:F70"/>
  <tableColumns count="6">
    <tableColumn id="1" name="Hero"/>
    <tableColumn id="2" name="Picture" dataDxfId="231">
      <calculatedColumnFormula>+"hero."&amp;_xlfn.IFNA(IF(INDEX(heroes[Evo?],MATCH(pictures.concat[[#This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calculatedColumnFormula>
    </tableColumn>
    <tableColumn id="3" name="Skill" dataDxfId="230">
      <calculatedColumnFormula>+"skill."&amp;SUBSTITUTE(SUBSTITUTE(LOWER(pictures.concat[[#This Row],[Hero]])," ",""),"-","")</calculatedColumnFormula>
    </tableColumn>
    <tableColumn id="4" name="Talent1" dataDxfId="229">
      <calculatedColumnFormula>+"talent1."&amp;_xlfn.IFNA(SUBSTITUTE(SUBSTITUTE(LOWER(INDEX(heroes[Talent],MATCH(pictures.concat[[#This Row],[Hero]],heroes[Hero],0)))," ",""),"'",""),"empty")</calculatedColumnFormula>
    </tableColumn>
    <tableColumn id="5" name="Talent2" dataDxfId="228">
      <calculatedColumnFormula>+"talent2."&amp;_xlfn.IFNA(SUBSTITUTE(LOWER(INDEX(pictures.talent2[Hero],MATCH(pictures.concat[[#This Row],[Hero]],pictures.talent2[Hero],0)))," ",""),"empty")</calculatedColumnFormula>
    </tableColumn>
    <tableColumn id="6" name="Crest" dataDxfId="227">
      <calculatedColumnFormula>+"crest."&amp;_xlfn.IFNA(IF(INDEX(heroes[Crest Set],MATCH(pictures.concat[[#This Row],[Hero]],heroes[Hero],0))="","empty",SUBSTITUTE(LOWER(INDEX(heroes[Crest Set],MATCH(pictures.concat[[#This Row],[Hero]],heroes[Hero],0)))," ","")),"empty")</calculatedColumnFormula>
    </tableColumn>
  </tableColumns>
  <tableStyleInfo showFirstColumn="0" showLastColumn="0" showRowStripes="1" showColumnStripes="0"/>
</table>
</file>

<file path=xl/tables/table12.xml><?xml version="1.0" encoding="utf-8"?>
<table xmlns="http://schemas.openxmlformats.org/spreadsheetml/2006/main" id="6" name="crests.sets" displayName="crests.sets" ref="A1:F19" totalsRowShown="0">
  <autoFilter ref="A1:F19"/>
  <tableColumns count="6">
    <tableColumn id="1" name="Crest"/>
    <tableColumn id="2" name="1" dataDxfId="226">
      <calculatedColumnFormula>+COUNTIFS(heroes[Crest Set],crests.sets[[#This Row],[Crest]],heroes[Crest Level],crests.sets[[#Headers],[1]])</calculatedColumnFormula>
    </tableColumn>
    <tableColumn id="3" name="2" dataDxfId="225">
      <calculatedColumnFormula>+COUNTIFS(heroes[Crest Set],crests.sets[[#This Row],[Crest]],heroes[Crest Level],crests.sets[[#Headers],[2]])</calculatedColumnFormula>
    </tableColumn>
    <tableColumn id="4" name="3" dataDxfId="224">
      <calculatedColumnFormula>+COUNTIFS(heroes[Crest Set],crests.sets[[#This Row],[Crest]],heroes[Crest Level],crests.sets[[#Headers],[3]])</calculatedColumnFormula>
    </tableColumn>
    <tableColumn id="5" name="4" dataDxfId="223">
      <calculatedColumnFormula>+COUNTIFS(heroes[Crest Set],crests.sets[[#This Row],[Crest]],heroes[Crest Level],crests.sets[[#Headers],[4]])</calculatedColumnFormula>
    </tableColumn>
    <tableColumn id="6" name="5" dataDxfId="222">
      <calculatedColumnFormula>+COUNTIFS(heroes[Crest Set],crests.sets[[#This Row],[Crest]],heroes[Crest Level],crests.sets[[#Headers],[5]])</calculatedColumnFormula>
    </tableColumn>
  </tableColumns>
  <tableStyleInfo name="TableStyleMedium11" showFirstColumn="0" showLastColumn="0" showRowStripes="1" showColumnStripes="0"/>
</table>
</file>

<file path=xl/tables/table13.xml><?xml version="1.0" encoding="utf-8"?>
<table xmlns="http://schemas.openxmlformats.org/spreadsheetml/2006/main" id="1" name="heroes2" displayName="heroes2" ref="A1:K75" totalsRowShown="0" headerRowDxfId="202" dataDxfId="201">
  <autoFilter ref="A1:K75"/>
  <sortState ref="A2:H75">
    <sortCondition ref="C1:C75"/>
  </sortState>
  <tableColumns count="11">
    <tableColumn id="1" name="Hero" dataDxfId="200"/>
    <tableColumn id="2" name="Level" dataDxfId="199"/>
    <tableColumn id="17" name="Evo?" dataDxfId="198"/>
    <tableColumn id="3" name="Skill Level" dataDxfId="197"/>
    <tableColumn id="5" name="Talent" dataDxfId="196"/>
    <tableColumn id="6" name="Talent Level" dataDxfId="195"/>
    <tableColumn id="11" name="Inscription" dataDxfId="194"/>
    <tableColumn id="18" name="Type" dataDxfId="193">
      <calculatedColumnFormula>+_xlfn.IFNA(INDEX(validation.heroes[Type],MATCH(heroes2[[#This Row],[Hero]],validation.heroes[Hero],0)),"")</calculatedColumnFormula>
    </tableColumn>
    <tableColumn id="4" name="Crest Set" dataDxfId="192"/>
    <tableColumn id="10" name="Crest Level" dataDxfId="191"/>
    <tableColumn id="7" name="Helper" dataDxfId="190">
      <calculatedColumnFormula>+_xlfn.IFNA(heroes2[[#This Row],[Talent Level]]/INDEX(validation.talent[max],MATCH(heroes2[[#This Row],[Talent]],validation.talent[talent],0)),-1)</calculatedColumnFormula>
    </tableColumn>
  </tableColumns>
  <tableStyleInfo name="TableStyleMedium11" showFirstColumn="0" showLastColumn="0" showRowStripes="1" showColumnStripes="0"/>
</table>
</file>

<file path=xl/tables/table14.xml><?xml version="1.0" encoding="utf-8"?>
<table xmlns="http://schemas.openxmlformats.org/spreadsheetml/2006/main" id="8" name="Table7109" displayName="Table7109" ref="B2:L6" totalsRowShown="0" headerRowDxfId="187" dataDxfId="186">
  <tableColumns count="11">
    <tableColumn id="10" name="Crest.Name" dataDxfId="185"/>
    <tableColumn id="1" name=" " dataDxfId="184"/>
    <tableColumn id="2" name="1" dataDxfId="183">
      <calculatedColumnFormula array="1">+INDEX(crests.sets[1],MATCH(Table7109[[#This Row],[Crest.Name]],crests.sets[Crest],0))+IFERROR(INDEX(crests.warehouse.1[1],MATCH(Table7109[[#This Row],[Crest.Name]]&amp;Table7109[[#This Row],[ ]],crests.warehouse.1[Crest.Name]&amp;crests.warehouse.1[[ ]],0)),0)+IFERROR(INDEX(crests.warehouse.2[1],MATCH(Table7109[[#This Row],[Crest.Name]]&amp;Table7109[[#This Row],[ ]],crests.warehouse.2[Crest.Name]&amp;crests.warehouse.2[[ ]],0)),0)</calculatedColumnFormula>
    </tableColumn>
    <tableColumn id="3" name="2" dataDxfId="182">
      <calculatedColumnFormula array="1">+INDEX(crests.sets[2],MATCH(Table7109[[#This Row],[Crest.Name]],crests.sets[Crest],0))+IFERROR(INDEX(crests.warehouse.1[2],MATCH(Table7109[[#This Row],[Crest.Name]]&amp;Table7109[[#This Row],[ ]],crests.warehouse.1[Crest.Name]&amp;crests.warehouse.1[[ ]],0)),0)+IFERROR(INDEX(crests.warehouse.2[2],MATCH(Table7109[[#This Row],[Crest.Name]]&amp;Table7109[[#This Row],[ ]],crests.warehouse.2[Crest.Name]&amp;crests.warehouse.2[[ ]],0)),0)</calculatedColumnFormula>
    </tableColumn>
    <tableColumn id="4" name="3" dataDxfId="181">
      <calculatedColumnFormula array="1">+INDEX(crests.sets[3],MATCH(Table7109[[#This Row],[Crest.Name]],crests.sets[Crest],0))+IFERROR(INDEX(crests.warehouse.1[3],MATCH(Table7109[[#This Row],[Crest.Name]]&amp;Table7109[[#This Row],[ ]],crests.warehouse.1[Crest.Name]&amp;crests.warehouse.1[[ ]],0)),0)+IFERROR(INDEX(crests.warehouse.2[3],MATCH(Table7109[[#This Row],[Crest.Name]]&amp;Table7109[[#This Row],[ ]],crests.warehouse.2[Crest.Name]&amp;crests.warehouse.2[[ ]],0)),0)</calculatedColumnFormula>
    </tableColumn>
    <tableColumn id="5" name="4" dataDxfId="180">
      <calculatedColumnFormula array="1">+INDEX(crests.sets[4],MATCH(Table7109[[#This Row],[Crest.Name]],crests.sets[Crest],0))+IFERROR(INDEX(crests.warehouse.1[4],MATCH(Table7109[[#This Row],[Crest.Name]]&amp;Table7109[[#This Row],[ ]],crests.warehouse.1[Crest.Name]&amp;crests.warehouse.1[[ ]],0)),0)+IFERROR(INDEX(crests.warehouse.2[4],MATCH(Table7109[[#This Row],[Crest.Name]]&amp;Table7109[[#This Row],[ ]],crests.warehouse.2[Crest.Name]&amp;crests.warehouse.2[[ ]],0)),0)</calculatedColumnFormula>
    </tableColumn>
    <tableColumn id="6" name="5" dataDxfId="179">
      <calculatedColumnFormula array="1">+INDEX(crests.sets[5],MATCH(Table7109[[#This Row],[Crest.Name]],crests.sets[Crest],0))+IFERROR(INDEX(crests.warehouse.1[5],MATCH(Table7109[[#This Row],[Crest.Name]]&amp;Table7109[[#This Row],[ ]],crests.warehouse.1[Crest.Name]&amp;crests.warehouse.1[[ ]],0)),0)+IFERROR(INDEX(crests.warehouse.2[5],MATCH(Table7109[[#This Row],[Crest.Name]]&amp;Table7109[[#This Row],[ ]],crests.warehouse.2[Crest.Name]&amp;crests.warehouse.2[[ ]],0)),0)</calculatedColumnFormula>
    </tableColumn>
    <tableColumn id="7" name="Total" dataDxfId="178">
      <calculatedColumnFormula>+Table7109[[#This Row],[1]]+4*Table7109[[#This Row],[2]]+16*Table7109[[#This Row],[3]]+64*Table7109[[#This Row],[4]]+256*Table7109[[#This Row],[5]]</calculatedColumnFormula>
    </tableColumn>
    <tableColumn id="9" name="Best" dataDxfId="177">
      <calculatedColumnFormula>+IF(Table7109[[#This Row],[Total]]&lt;=4,1,IF(Table7109[[#This Row],[Total]]&lt;=16,2,IF(Table7109[[#This Row],[Total]]&lt;=64,3,IF(Table7109[[#This Row],[Total]]&lt;=256,4,5))))</calculatedColumnFormula>
    </tableColumn>
    <tableColumn id="13" name="Qty" dataDxfId="176">
      <calculatedColumnFormula>+INDEX(crests.progress17[Crest.Qty],MATCH(SUM(Table7109[[#This Row],[Best]]+1),crests.progress17[Crest.Tier],0))-Table7109[[#This Row],[Total]]</calculatedColumnFormula>
    </tableColumn>
    <tableColumn id="14" name="%" dataDxfId="175">
      <calculatedColumnFormula>+Table7109[[#This Row],[Total]]/INDEX(crests.progress17[Crest.Qty],MATCH(SUM(Table7109[[#This Row],[Best]]+1),crests.progress17[Crest.Tier],0))</calculatedColumnFormula>
    </tableColumn>
  </tableColumns>
  <tableStyleInfo name="TableStyleMedium11" showFirstColumn="0" showLastColumn="0" showRowStripes="1" showColumnStripes="0"/>
</table>
</file>

<file path=xl/tables/table15.xml><?xml version="1.0" encoding="utf-8"?>
<table xmlns="http://schemas.openxmlformats.org/spreadsheetml/2006/main" id="16" name="crests.progress17" displayName="crests.progress17" ref="T2:U7" totalsRowShown="0" headerRowDxfId="174" dataDxfId="173">
  <tableColumns count="2">
    <tableColumn id="1" name="Crest.Tier" dataDxfId="172"/>
    <tableColumn id="2" name="Crest.Qty" dataDxfId="171"/>
  </tableColumns>
  <tableStyleInfo name="TableStyleMedium11" showFirstColumn="0" showLastColumn="0" showRowStripes="1" showColumnStripes="0"/>
</table>
</file>

<file path=xl/tables/table16.xml><?xml version="1.0" encoding="utf-8"?>
<table xmlns="http://schemas.openxmlformats.org/spreadsheetml/2006/main" id="7" name="crests.warehouse.1" displayName="crests.warehouse.1" ref="B1:H37" totalsRowShown="0" headerRowDxfId="170" dataDxfId="169">
  <tableColumns count="7">
    <tableColumn id="1" name="Crest.Name" dataDxfId="168"/>
    <tableColumn id="7" name=" " dataDxfId="167"/>
    <tableColumn id="2" name="1" dataDxfId="166"/>
    <tableColumn id="3" name="2" dataDxfId="165"/>
    <tableColumn id="4" name="3" dataDxfId="164"/>
    <tableColumn id="5" name="4" dataDxfId="163"/>
    <tableColumn id="6" name="5" dataDxfId="162"/>
  </tableColumns>
  <tableStyleInfo name="TableStyleMedium11" showFirstColumn="0" showLastColumn="0" showRowStripes="1" showColumnStripes="0"/>
</table>
</file>

<file path=xl/tables/table17.xml><?xml version="1.0" encoding="utf-8"?>
<table xmlns="http://schemas.openxmlformats.org/spreadsheetml/2006/main" id="12" name="crests.warehouse.2" displayName="crests.warehouse.2" ref="K1:Q37" totalsRowShown="0" headerRowDxfId="161" dataDxfId="159" headerRowBorderDxfId="160">
  <tableColumns count="7">
    <tableColumn id="1" name="Crest.Name" dataDxfId="158"/>
    <tableColumn id="2" name=" " dataDxfId="157"/>
    <tableColumn id="3" name="1" dataDxfId="156"/>
    <tableColumn id="4" name="2" dataDxfId="155"/>
    <tableColumn id="5" name="3" dataDxfId="154"/>
    <tableColumn id="6" name="4" dataDxfId="153"/>
    <tableColumn id="7" name="5" dataDxfId="152"/>
  </tableColumns>
  <tableStyleInfo name="TableStyleMedium11" showFirstColumn="0" showLastColumn="0" showRowStripes="1" showColumnStripes="0"/>
</table>
</file>

<file path=xl/tables/table18.xml><?xml version="1.0" encoding="utf-8"?>
<table xmlns="http://schemas.openxmlformats.org/spreadsheetml/2006/main" id="9" name="Table710" displayName="Table710" ref="C3:N39" totalsRowShown="0" headerRowDxfId="105" dataDxfId="104">
  <tableColumns count="12">
    <tableColumn id="10" name="Crest.Name" dataDxfId="103"/>
    <tableColumn id="1" name=" " dataDxfId="102"/>
    <tableColumn id="2" name="1" dataDxfId="101">
      <calculatedColumnFormula array="1">+INDEX(crests.sets[1],MATCH(Table710[[#This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calculatedColumnFormula>
    </tableColumn>
    <tableColumn id="3" name="2" dataDxfId="100">
      <calculatedColumnFormula array="1">+INDEX(crests.sets[2],MATCH(Table710[[#This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calculatedColumnFormula>
    </tableColumn>
    <tableColumn id="4" name="3" dataDxfId="99">
      <calculatedColumnFormula array="1">+INDEX(crests.sets[3],MATCH(Table710[[#This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calculatedColumnFormula>
    </tableColumn>
    <tableColumn id="5" name="4" dataDxfId="98">
      <calculatedColumnFormula array="1">+INDEX(crests.sets[4],MATCH(Table710[[#This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calculatedColumnFormula>
    </tableColumn>
    <tableColumn id="6" name="5" dataDxfId="97">
      <calculatedColumnFormula array="1">+INDEX(crests.sets[5],MATCH(Table710[[#This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calculatedColumnFormula>
    </tableColumn>
    <tableColumn id="7" name="Total" dataDxfId="96">
      <calculatedColumnFormula>+Table710[[#This Row],[1]]+4*Table710[[#This Row],[2]]+16*Table710[[#This Row],[3]]+64*Table710[[#This Row],[4]]+256*Table710[[#This Row],[5]]-IF($E$41="No",VLOOKUP(Table710[[#This Row],[Crest.Name]],$B$44:$J$79,9,FALSE))</calculatedColumnFormula>
    </tableColumn>
    <tableColumn id="9" name="Best" dataDxfId="95">
      <calculatedColumnFormula>+IF(Table710[[#This Row],[Total]]&lt;4,1,IF(Table710[[#This Row],[Total]]&lt;16,2,IF(Table710[[#This Row],[Total]]&lt;64,3,IF(Table710[[#This Row],[Total]]&lt;256,4,5))))</calculatedColumnFormula>
    </tableColumn>
    <tableColumn id="8" name="Cost" dataDxfId="94"/>
    <tableColumn id="13" name="Qty" dataDxfId="93">
      <calculatedColumnFormula>+_xlfn.IFNA(INDEX(crests.progress[Crest.Qty],MATCH(SUM(Table710[[#This Row],[Best]]+1),crests.progress[Crest.Tier],0))-Table710[[#This Row],[Total]],0)</calculatedColumnFormula>
    </tableColumn>
    <tableColumn id="14" name="%" dataDxfId="92">
      <calculatedColumnFormula>+_xlfn.IFNA(Table710[[#This Row],[Total]]/INDEX(crests.progress[Crest.Qty],MATCH(SUM(Table710[[#This Row],[Best]]+1),crests.progress[Crest.Tier],0)),1)</calculatedColumnFormula>
    </tableColumn>
  </tableColumns>
  <tableStyleInfo name="TableStyleMedium11" showFirstColumn="0" showLastColumn="0" showRowStripes="1" showColumnStripes="0"/>
</table>
</file>

<file path=xl/tables/table19.xml><?xml version="1.0" encoding="utf-8"?>
<table xmlns="http://schemas.openxmlformats.org/spreadsheetml/2006/main" id="10" name="Table10" displayName="Table10" ref="Q3:AB39" totalsRowShown="0" headerRowDxfId="91" dataDxfId="90">
  <tableColumns count="12">
    <tableColumn id="1" name="Crest.Name" dataDxfId="89"/>
    <tableColumn id="2" name=" " dataDxfId="88"/>
    <tableColumn id="3" name="1" dataDxfId="87">
      <calculatedColumnFormula array="1">+INDEX(crests.sets[1],MATCH(Table10[[#This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calculatedColumnFormula>
    </tableColumn>
    <tableColumn id="4" name="2" dataDxfId="86">
      <calculatedColumnFormula array="1">+INDEX(crests.sets[2],MATCH(Table10[[#This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calculatedColumnFormula>
    </tableColumn>
    <tableColumn id="5" name="3" dataDxfId="85">
      <calculatedColumnFormula array="1">+INDEX(crests.sets[3],MATCH(Table10[[#This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calculatedColumnFormula>
    </tableColumn>
    <tableColumn id="6" name="4" dataDxfId="84">
      <calculatedColumnFormula array="1">+INDEX(crests.sets[4],MATCH(Table10[[#This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calculatedColumnFormula>
    </tableColumn>
    <tableColumn id="7" name="5" dataDxfId="83">
      <calculatedColumnFormula array="1">+INDEX(crests.sets[5],MATCH(Table10[[#This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calculatedColumnFormula>
    </tableColumn>
    <tableColumn id="8" name="Total" dataDxfId="82">
      <calculatedColumnFormula>+Table10[[#This Row],[1]]+4*Table10[[#This Row],[2]]+16*Table10[[#This Row],[3]]+64*Table10[[#This Row],[4]]+256*Table10[[#This Row],[5]]--IF($E$41="No",VLOOKUP(Table10[[#This Row],[Crest.Name]],$B$44:$J$79,9,FALSE))</calculatedColumnFormula>
    </tableColumn>
    <tableColumn id="9" name="Best" dataDxfId="81">
      <calculatedColumnFormula>+IF(Table10[[#This Row],[Total]]=0,0,IF(Table10[[#This Row],[Total]]&lt;4,1,IF(Table10[[#This Row],[Total]]&lt;16,2,IF(Table10[[#This Row],[Total]]&lt;64,3,IF(Table10[[#This Row],[Total]]&lt;256,4,5)))))</calculatedColumnFormula>
    </tableColumn>
    <tableColumn id="12" name="Cost" dataDxfId="80"/>
    <tableColumn id="10" name="Qty" dataDxfId="79">
      <calculatedColumnFormula>+_xlfn.IFNA(INDEX(crests.progress[Crest.Qty],MATCH(SUM(Table10[[#This Row],[Best]]+1),crests.progress[Crest.Tier],0))-Table10[[#This Row],[Total]],0)</calculatedColumnFormula>
    </tableColumn>
    <tableColumn id="11" name="%" dataDxfId="78">
      <calculatedColumnFormula>+_xlfn.IFNA(Table10[[#This Row],[Total]]/INDEX(crests.progress[Crest.Qty],MATCH(SUM(Table10[[#This Row],[Best]]+1),crests.progress[Crest.Tier],0)),1)</calculatedColumnFormula>
    </tableColumn>
  </tableColumns>
  <tableStyleInfo name="TableStyleMedium11" showFirstColumn="0" showLastColumn="0" showRowStripes="1" showColumnStripes="0"/>
</table>
</file>

<file path=xl/tables/table20.xml><?xml version="1.0" encoding="utf-8"?>
<table xmlns="http://schemas.openxmlformats.org/spreadsheetml/2006/main" id="11" name="crests.progress" displayName="crests.progress" ref="AI3:AJ8" totalsRowShown="0" headerRowDxfId="77" dataDxfId="76">
  <tableColumns count="2">
    <tableColumn id="1" name="Crest.Tier" dataDxfId="75"/>
    <tableColumn id="2" name="Crest.Qty" dataDxfId="74"/>
  </tableColumns>
  <tableStyleInfo name="TableStyleMedium11" showFirstColumn="0" showLastColumn="0" showRowStripes="1" showColumnStripes="0"/>
</table>
</file>

<file path=xl/tables/table21.xml><?xml version="1.0" encoding="utf-8"?>
<table xmlns="http://schemas.openxmlformats.org/spreadsheetml/2006/main" id="22" name="Table22" displayName="Table22" ref="A1:D25" totalsRowShown="0" headerRowDxfId="73" dataDxfId="71" headerRowBorderDxfId="72">
  <autoFilter ref="A1:D25"/>
  <tableColumns count="4">
    <tableColumn id="1" name="Hero" dataDxfId="70"/>
    <tableColumn id="2" name="Crest" dataDxfId="69"/>
    <tableColumn id="3" name="Slot" dataDxfId="68"/>
    <tableColumn id="4" name="Level" dataDxfId="67"/>
  </tableColumns>
  <tableStyleInfo name="TableStyleMedium11" showFirstColumn="0" showLastColumn="0" showRowStripes="1" showColumnStripes="0"/>
</table>
</file>

<file path=xl/tables/table22.xml><?xml version="1.0" encoding="utf-8"?>
<table xmlns="http://schemas.openxmlformats.org/spreadsheetml/2006/main" id="2" name="heroes" displayName="heroes" ref="A1:Q79" totalsRowCount="1" headerRowDxfId="36" dataDxfId="35" totalsRowDxfId="34">
  <autoFilter ref="A1:Q78"/>
  <sortState ref="A2:P59">
    <sortCondition ref="D1:D78"/>
  </sortState>
  <tableColumns count="17">
    <tableColumn id="1" name="Hero" totalsRowFunction="custom" dataDxfId="33" totalsRowDxfId="32">
      <totalsRowFormula>+COUNTA(heroes[Hero])&amp;"/63 ("&amp;TEXT(SUM(COUNTA(heroes[Hero])/63),"0%")&amp;")"</totalsRowFormula>
    </tableColumn>
    <tableColumn id="9" name="SortKey" dataDxfId="31" totalsRowDxfId="30">
      <calculatedColumnFormula>+_xlfn.IFNA(INDEX(validation.heroes[Type],MATCH(heroes[[#This Row],[Hero]],validation.heroes[Hero],0)),"4 -")&amp;"                    "&amp;heroes[[#This Row],[Evo?]]&amp;"-"&amp;TEXT(SUM(200-heroes[[#This Row],[Level]]),"000")&amp;"-"&amp;_xlfn.IFNA(SUM(INDEX(validation.heroes[SortKey],MATCH(heroes[[#This Row],[Hero]],validation.heroes[Hero],0))+heroes[[#This Row],[Inscr.]]),"")</calculatedColumnFormula>
    </tableColumn>
    <tableColumn id="2" name="Level" totalsRowFunction="custom" dataDxfId="29" totalsRowDxfId="28">
      <totalsRowFormula>+AVERAGE(heroes[Level])</totalsRowFormula>
    </tableColumn>
    <tableColumn id="17" name="Evo?" dataDxfId="27" totalsRowDxfId="26"/>
    <tableColumn id="3" name="Skill Level" totalsRowFunction="custom" dataDxfId="25" totalsRowDxfId="24">
      <totalsRowFormula>+AVERAGE(heroes[Skill Level])</totalsRowFormula>
    </tableColumn>
    <tableColumn id="5" name="Talent" dataDxfId="23" totalsRowDxfId="22"/>
    <tableColumn id="6" name="Talent Level" totalsRowFunction="custom" dataDxfId="21" totalsRowDxfId="20">
      <totalsRowFormula>+AVERAGE(heroes[Talent Level])</totalsRowFormula>
    </tableColumn>
    <tableColumn id="11" name="Inscr." totalsRowFunction="custom" dataDxfId="19" totalsRowDxfId="18">
      <totalsRowFormula>+AVERAGE(heroes[Inscr.])</totalsRowFormula>
    </tableColumn>
    <tableColumn id="4" name="Crest Set" dataDxfId="17" totalsRowDxfId="16"/>
    <tableColumn id="10" name="Crest Level" totalsRowFunction="custom" dataDxfId="15" totalsRowDxfId="14">
      <totalsRowFormula>+AVERAGE(heroes[Crest Level])</totalsRowFormula>
    </tableColumn>
    <tableColumn id="8" name="Lock Crest?" dataDxfId="13" totalsRowDxfId="12"/>
    <tableColumn id="12" name="Evo Cost (Fame)" totalsRowFunction="custom" dataDxfId="11" totalsRowDxfId="10">
      <calculatedColumnFormula>+_xlfn.IFNA(IF(VLOOKUP(heroes[[#This Row],[Hero]],'Warehouse - Cards'!$AB$4:$AI$400,7,FALSE)=0,"",VLOOKUP(heroes[[#This Row],[Hero]],'Warehouse - Cards'!$AB$4:$AI$400,7,FALSE)),"")</calculatedColumnFormula>
      <totalsRowFormula>+SUM(heroes[Evo Cost (Fame)])</totalsRowFormula>
    </tableColumn>
    <tableColumn id="13" name="Evo Cost (Shard)" totalsRowFunction="custom" dataDxfId="9" totalsRowDxfId="8">
      <calculatedColumnFormula>+_xlfn.IFNA(IF(VLOOKUP(heroes[[#This Row],[Hero]],'Warehouse - Cards'!$AB$4:$AI$400,8,FALSE)=0,"",VLOOKUP(heroes[[#This Row],[Hero]],'Warehouse - Cards'!$AB$4:$AI$400,8,FALSE)),"")</calculatedColumnFormula>
      <totalsRowFormula>+SUM(heroes[Evo Cost (Shard)])</totalsRowFormula>
    </tableColumn>
    <tableColumn id="14" name="Tower value" dataDxfId="7" totalsRowDxfId="6">
      <calculatedColumnFormula>+_xlfn.IFNA(heroes[[#This Row],[Level]]+VLOOKUP(heroes[[#This Row],[Skill Level]],$A$81:$B$90,2,FALSE),0)</calculatedColumnFormula>
    </tableColumn>
    <tableColumn id="15" name="Tower level" dataDxfId="5" totalsRowDxfId="4">
      <calculatedColumnFormula>+IF(heroes[[#This Row],[Tower value]]&lt;50,0,IF(heroes[[#This Row],[Tower value]]&lt;=139,1,IF(heroes[[#This Row],[Tower value]]&lt;=299,2,IF(heroes[[#This Row],[Tower value]]&lt;=649,3,IF(heroes[[#This Row],[Tower value]]&lt;=1199,4,IF(heroes[[#This Row],[Tower value]]&lt;=2199,5,IF(heroes[[#This Row],[Tower value]]&lt;=3799,6,IF(heroes[[#This Row],[Tower value]]&gt;=3800,7))))))))</calculatedColumnFormula>
    </tableColumn>
    <tableColumn id="7" name="Helper" dataDxfId="3" totalsRowDxfId="2">
      <calculatedColumnFormula>+_xlfn.IFNA(heroes[[#This Row],[Talent Level]]/INDEX(validation.talent[max],MATCH(heroes[[#This Row],[Talent]],validation.talent[talent],0)),-1)</calculatedColumnFormula>
    </tableColumn>
    <tableColumn id="16" name="Class" dataDxfId="1" totalsRowDxfId="0">
      <calculatedColumnFormula>+VLOOKUP(heroes[[#This Row],[Hero]],validation.heroes[],4,FALSE)</calculatedColumnFormula>
    </tableColumn>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reativecommons.org/licenses/by-nc-sa/4.0/" TargetMode="External"/><Relationship Id="rId1" Type="http://schemas.openxmlformats.org/officeDocument/2006/relationships/hyperlink" Target="http://vanguard666.com/" TargetMode="Externa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table" Target="../tables/table1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openxmlformats.org/officeDocument/2006/relationships/table" Target="../tables/table20.xml"/><Relationship Id="rId4"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63"/>
  <sheetViews>
    <sheetView topLeftCell="A27" workbookViewId="0">
      <selection activeCell="J3" sqref="J3"/>
    </sheetView>
  </sheetViews>
  <sheetFormatPr defaultRowHeight="15" x14ac:dyDescent="0.25"/>
  <cols>
    <col min="1" max="1" width="6.42578125" bestFit="1" customWidth="1"/>
    <col min="2" max="2" width="11.28515625" bestFit="1" customWidth="1"/>
    <col min="3" max="3" width="15" bestFit="1" customWidth="1"/>
    <col min="4" max="4" width="6.85546875" bestFit="1" customWidth="1"/>
    <col min="5" max="5" width="15" bestFit="1" customWidth="1"/>
    <col min="6" max="6" width="6.85546875" customWidth="1"/>
    <col min="7" max="7" width="18" bestFit="1" customWidth="1"/>
    <col min="8" max="8" width="11.28515625" bestFit="1" customWidth="1"/>
  </cols>
  <sheetData>
    <row r="1" spans="1:14" x14ac:dyDescent="0.25">
      <c r="A1" s="11" t="s">
        <v>0</v>
      </c>
      <c r="B1" s="12" t="s">
        <v>1</v>
      </c>
      <c r="C1" s="13" t="s">
        <v>2</v>
      </c>
      <c r="D1" s="11" t="s">
        <v>3</v>
      </c>
      <c r="E1" s="13" t="s">
        <v>2</v>
      </c>
      <c r="F1" s="11" t="s">
        <v>3</v>
      </c>
      <c r="G1" t="s">
        <v>4</v>
      </c>
      <c r="H1" t="s">
        <v>5</v>
      </c>
      <c r="I1" t="s">
        <v>192</v>
      </c>
      <c r="J1" t="s">
        <v>266</v>
      </c>
    </row>
    <row r="2" spans="1:14" x14ac:dyDescent="0.25">
      <c r="A2" s="11" t="s">
        <v>6</v>
      </c>
      <c r="B2" s="12" t="s">
        <v>7</v>
      </c>
      <c r="C2" s="13" t="s">
        <v>8</v>
      </c>
      <c r="D2" s="15">
        <v>8</v>
      </c>
      <c r="E2" s="13" t="s">
        <v>8</v>
      </c>
      <c r="F2" s="15">
        <v>8</v>
      </c>
      <c r="G2" s="14" t="s">
        <v>9</v>
      </c>
      <c r="H2" t="s">
        <v>10</v>
      </c>
      <c r="I2">
        <v>7</v>
      </c>
      <c r="J2" t="str">
        <f>+VLOOKUP(validation.heroes[[#This Row],[Type]],$M$2:$N$4,2,FALSE)</f>
        <v>Ordinary</v>
      </c>
      <c r="M2" t="s">
        <v>7</v>
      </c>
      <c r="N2" t="s">
        <v>264</v>
      </c>
    </row>
    <row r="3" spans="1:14" x14ac:dyDescent="0.25">
      <c r="A3" s="11" t="s">
        <v>11</v>
      </c>
      <c r="B3" s="12" t="s">
        <v>12</v>
      </c>
      <c r="C3" s="13" t="s">
        <v>13</v>
      </c>
      <c r="D3" s="15">
        <v>8</v>
      </c>
      <c r="E3" s="13" t="s">
        <v>13</v>
      </c>
      <c r="F3" s="15">
        <v>8</v>
      </c>
      <c r="G3" s="14" t="s">
        <v>14</v>
      </c>
      <c r="H3" t="s">
        <v>10</v>
      </c>
      <c r="I3">
        <v>1</v>
      </c>
      <c r="J3" t="str">
        <f>+VLOOKUP(validation.heroes[[#This Row],[Type]],$M$2:$N$4,2,FALSE)</f>
        <v>Ordinary</v>
      </c>
      <c r="M3" t="s">
        <v>12</v>
      </c>
      <c r="N3" t="s">
        <v>263</v>
      </c>
    </row>
    <row r="4" spans="1:14" x14ac:dyDescent="0.25">
      <c r="A4" s="11" t="s">
        <v>15</v>
      </c>
      <c r="B4" s="12" t="s">
        <v>10</v>
      </c>
      <c r="C4" s="13" t="s">
        <v>16</v>
      </c>
      <c r="D4" s="15">
        <v>8</v>
      </c>
      <c r="E4" s="13" t="s">
        <v>16</v>
      </c>
      <c r="F4" s="15">
        <v>8</v>
      </c>
      <c r="G4" s="14" t="s">
        <v>195</v>
      </c>
      <c r="H4" t="s">
        <v>7</v>
      </c>
      <c r="I4">
        <v>45</v>
      </c>
      <c r="J4" t="str">
        <f>+VLOOKUP(validation.heroes[[#This Row],[Type]],$M$2:$N$4,2,FALSE)</f>
        <v>Legendary</v>
      </c>
      <c r="M4" t="s">
        <v>10</v>
      </c>
      <c r="N4" t="s">
        <v>262</v>
      </c>
    </row>
    <row r="5" spans="1:14" x14ac:dyDescent="0.25">
      <c r="C5" t="s">
        <v>18</v>
      </c>
      <c r="D5" s="15">
        <v>5</v>
      </c>
      <c r="E5" t="s">
        <v>22</v>
      </c>
      <c r="F5" s="15">
        <v>8</v>
      </c>
      <c r="G5" s="14" t="s">
        <v>17</v>
      </c>
      <c r="H5" t="s">
        <v>7</v>
      </c>
      <c r="I5">
        <v>31</v>
      </c>
      <c r="J5" t="str">
        <f>+VLOOKUP(validation.heroes[[#This Row],[Type]],$M$2:$N$4,2,FALSE)</f>
        <v>Legendary</v>
      </c>
    </row>
    <row r="6" spans="1:14" x14ac:dyDescent="0.25">
      <c r="C6" t="s">
        <v>20</v>
      </c>
      <c r="D6" s="15">
        <v>5</v>
      </c>
      <c r="E6" t="s">
        <v>26</v>
      </c>
      <c r="F6" s="15">
        <v>8</v>
      </c>
      <c r="G6" s="14" t="s">
        <v>19</v>
      </c>
      <c r="H6" t="s">
        <v>7</v>
      </c>
      <c r="I6">
        <v>16</v>
      </c>
      <c r="J6" t="str">
        <f>+VLOOKUP(validation.heroes[[#This Row],[Type]],$M$2:$N$4,2,FALSE)</f>
        <v>Legendary</v>
      </c>
    </row>
    <row r="7" spans="1:14" x14ac:dyDescent="0.25">
      <c r="C7" t="s">
        <v>22</v>
      </c>
      <c r="D7" s="15">
        <v>8</v>
      </c>
      <c r="E7" t="s">
        <v>30</v>
      </c>
      <c r="F7" s="15">
        <v>8</v>
      </c>
      <c r="G7" s="14" t="s">
        <v>21</v>
      </c>
      <c r="H7" t="s">
        <v>12</v>
      </c>
      <c r="I7">
        <v>2</v>
      </c>
      <c r="J7" t="str">
        <f>+VLOOKUP(validation.heroes[[#This Row],[Type]],$M$2:$N$4,2,FALSE)</f>
        <v>Elite</v>
      </c>
    </row>
    <row r="8" spans="1:14" x14ac:dyDescent="0.25">
      <c r="C8" t="s">
        <v>24</v>
      </c>
      <c r="D8" s="15">
        <v>5</v>
      </c>
      <c r="E8" t="s">
        <v>32</v>
      </c>
      <c r="F8" s="15">
        <v>8</v>
      </c>
      <c r="G8" s="14" t="s">
        <v>23</v>
      </c>
      <c r="H8" t="s">
        <v>7</v>
      </c>
      <c r="I8">
        <v>11</v>
      </c>
      <c r="J8" t="str">
        <f>+VLOOKUP(validation.heroes[[#This Row],[Type]],$M$2:$N$4,2,FALSE)</f>
        <v>Legendary</v>
      </c>
    </row>
    <row r="9" spans="1:14" x14ac:dyDescent="0.25">
      <c r="C9" t="s">
        <v>26</v>
      </c>
      <c r="D9" s="15">
        <v>8</v>
      </c>
      <c r="E9" t="s">
        <v>34</v>
      </c>
      <c r="F9" s="15">
        <v>5</v>
      </c>
      <c r="G9" s="14" t="s">
        <v>25</v>
      </c>
      <c r="H9" t="s">
        <v>7</v>
      </c>
      <c r="I9">
        <v>34</v>
      </c>
      <c r="J9" t="str">
        <f>+VLOOKUP(validation.heroes[[#This Row],[Type]],$M$2:$N$4,2,FALSE)</f>
        <v>Legendary</v>
      </c>
    </row>
    <row r="10" spans="1:14" x14ac:dyDescent="0.25">
      <c r="C10" t="s">
        <v>28</v>
      </c>
      <c r="D10" s="15">
        <v>5</v>
      </c>
      <c r="E10" t="s">
        <v>36</v>
      </c>
      <c r="F10" s="15">
        <v>5</v>
      </c>
      <c r="G10" s="14" t="s">
        <v>27</v>
      </c>
      <c r="H10" t="s">
        <v>7</v>
      </c>
      <c r="I10">
        <v>30</v>
      </c>
      <c r="J10" t="str">
        <f>+VLOOKUP(validation.heroes[[#This Row],[Type]],$M$2:$N$4,2,FALSE)</f>
        <v>Legendary</v>
      </c>
    </row>
    <row r="11" spans="1:14" x14ac:dyDescent="0.25">
      <c r="C11" t="s">
        <v>30</v>
      </c>
      <c r="D11" s="15">
        <v>8</v>
      </c>
      <c r="E11" t="s">
        <v>38</v>
      </c>
      <c r="F11" s="15">
        <v>8</v>
      </c>
      <c r="G11" s="14" t="s">
        <v>29</v>
      </c>
      <c r="H11" t="s">
        <v>7</v>
      </c>
      <c r="I11">
        <v>5</v>
      </c>
      <c r="J11" t="str">
        <f>+VLOOKUP(validation.heroes[[#This Row],[Type]],$M$2:$N$4,2,FALSE)</f>
        <v>Legendary</v>
      </c>
    </row>
    <row r="12" spans="1:14" x14ac:dyDescent="0.25">
      <c r="C12" t="s">
        <v>32</v>
      </c>
      <c r="D12" s="15">
        <v>8</v>
      </c>
      <c r="E12" t="s">
        <v>40</v>
      </c>
      <c r="F12" s="15">
        <v>8</v>
      </c>
      <c r="G12" s="14" t="s">
        <v>31</v>
      </c>
      <c r="H12" t="s">
        <v>7</v>
      </c>
      <c r="I12">
        <v>13</v>
      </c>
      <c r="J12" t="str">
        <f>+VLOOKUP(validation.heroes[[#This Row],[Type]],$M$2:$N$4,2,FALSE)</f>
        <v>Legendary</v>
      </c>
    </row>
    <row r="13" spans="1:14" x14ac:dyDescent="0.25">
      <c r="C13" t="s">
        <v>36</v>
      </c>
      <c r="D13" s="15">
        <v>5</v>
      </c>
      <c r="E13" t="s">
        <v>42</v>
      </c>
      <c r="F13" s="15">
        <v>8</v>
      </c>
      <c r="G13" s="14" t="s">
        <v>33</v>
      </c>
      <c r="H13" t="s">
        <v>12</v>
      </c>
      <c r="I13">
        <v>4</v>
      </c>
      <c r="J13" t="str">
        <f>+VLOOKUP(validation.heroes[[#This Row],[Type]],$M$2:$N$4,2,FALSE)</f>
        <v>Elite</v>
      </c>
    </row>
    <row r="14" spans="1:14" x14ac:dyDescent="0.25">
      <c r="C14" t="s">
        <v>38</v>
      </c>
      <c r="D14" s="15">
        <v>8</v>
      </c>
      <c r="E14" t="s">
        <v>44</v>
      </c>
      <c r="F14" s="15">
        <v>8</v>
      </c>
      <c r="G14" s="14" t="s">
        <v>35</v>
      </c>
      <c r="H14" t="s">
        <v>7</v>
      </c>
      <c r="I14">
        <v>18</v>
      </c>
      <c r="J14" t="str">
        <f>+VLOOKUP(validation.heroes[[#This Row],[Type]],$M$2:$N$4,2,FALSE)</f>
        <v>Legendary</v>
      </c>
    </row>
    <row r="15" spans="1:14" x14ac:dyDescent="0.25">
      <c r="C15" t="s">
        <v>40</v>
      </c>
      <c r="D15" s="15">
        <v>8</v>
      </c>
      <c r="E15" t="s">
        <v>46</v>
      </c>
      <c r="F15" s="15">
        <v>8</v>
      </c>
      <c r="G15" s="14" t="s">
        <v>37</v>
      </c>
      <c r="H15" t="s">
        <v>7</v>
      </c>
      <c r="I15">
        <v>39</v>
      </c>
      <c r="J15" t="str">
        <f>+VLOOKUP(validation.heroes[[#This Row],[Type]],$M$2:$N$4,2,FALSE)</f>
        <v>Legendary</v>
      </c>
    </row>
    <row r="16" spans="1:14" x14ac:dyDescent="0.25">
      <c r="C16" t="s">
        <v>42</v>
      </c>
      <c r="D16" s="15">
        <v>8</v>
      </c>
      <c r="E16" t="s">
        <v>48</v>
      </c>
      <c r="F16" s="15">
        <v>8</v>
      </c>
      <c r="G16" s="14" t="s">
        <v>39</v>
      </c>
      <c r="H16" t="s">
        <v>7</v>
      </c>
      <c r="I16">
        <v>23</v>
      </c>
      <c r="J16" t="str">
        <f>+VLOOKUP(validation.heroes[[#This Row],[Type]],$M$2:$N$4,2,FALSE)</f>
        <v>Legendary</v>
      </c>
    </row>
    <row r="17" spans="3:10" x14ac:dyDescent="0.25">
      <c r="C17" t="s">
        <v>44</v>
      </c>
      <c r="D17" s="15">
        <v>8</v>
      </c>
      <c r="E17" t="s">
        <v>50</v>
      </c>
      <c r="F17" s="15">
        <v>8</v>
      </c>
      <c r="G17" s="14" t="s">
        <v>41</v>
      </c>
      <c r="H17" t="s">
        <v>7</v>
      </c>
      <c r="I17">
        <v>37</v>
      </c>
      <c r="J17" t="str">
        <f>+VLOOKUP(validation.heroes[[#This Row],[Type]],$M$2:$N$4,2,FALSE)</f>
        <v>Legendary</v>
      </c>
    </row>
    <row r="18" spans="3:10" x14ac:dyDescent="0.25">
      <c r="C18" t="s">
        <v>46</v>
      </c>
      <c r="D18" s="15">
        <v>8</v>
      </c>
      <c r="E18" t="s">
        <v>52</v>
      </c>
      <c r="F18" s="15">
        <v>8</v>
      </c>
      <c r="G18" s="14" t="s">
        <v>43</v>
      </c>
      <c r="H18" t="s">
        <v>7</v>
      </c>
      <c r="I18">
        <v>28</v>
      </c>
      <c r="J18" t="str">
        <f>+VLOOKUP(validation.heroes[[#This Row],[Type]],$M$2:$N$4,2,FALSE)</f>
        <v>Legendary</v>
      </c>
    </row>
    <row r="19" spans="3:10" x14ac:dyDescent="0.25">
      <c r="C19" t="s">
        <v>48</v>
      </c>
      <c r="D19" s="15">
        <v>8</v>
      </c>
      <c r="E19" t="s">
        <v>54</v>
      </c>
      <c r="F19" s="15">
        <v>8</v>
      </c>
      <c r="G19" s="14" t="s">
        <v>45</v>
      </c>
      <c r="H19" t="s">
        <v>7</v>
      </c>
      <c r="I19">
        <v>6</v>
      </c>
      <c r="J19" t="str">
        <f>+VLOOKUP(validation.heroes[[#This Row],[Type]],$M$2:$N$4,2,FALSE)</f>
        <v>Legendary</v>
      </c>
    </row>
    <row r="20" spans="3:10" x14ac:dyDescent="0.25">
      <c r="C20" t="s">
        <v>50</v>
      </c>
      <c r="D20" s="15">
        <v>8</v>
      </c>
      <c r="E20" t="s">
        <v>196</v>
      </c>
      <c r="F20" s="15">
        <v>0</v>
      </c>
      <c r="G20" s="14" t="s">
        <v>47</v>
      </c>
      <c r="H20" t="s">
        <v>10</v>
      </c>
      <c r="I20">
        <v>6</v>
      </c>
      <c r="J20" t="str">
        <f>+VLOOKUP(validation.heroes[[#This Row],[Type]],$M$2:$N$4,2,FALSE)</f>
        <v>Ordinary</v>
      </c>
    </row>
    <row r="21" spans="3:10" x14ac:dyDescent="0.25">
      <c r="C21" t="s">
        <v>52</v>
      </c>
      <c r="D21" s="15">
        <v>8</v>
      </c>
      <c r="G21" s="14" t="s">
        <v>49</v>
      </c>
      <c r="H21" t="s">
        <v>10</v>
      </c>
      <c r="I21">
        <v>4</v>
      </c>
      <c r="J21" t="str">
        <f>+VLOOKUP(validation.heroes[[#This Row],[Type]],$M$2:$N$4,2,FALSE)</f>
        <v>Ordinary</v>
      </c>
    </row>
    <row r="22" spans="3:10" x14ac:dyDescent="0.25">
      <c r="C22" t="s">
        <v>54</v>
      </c>
      <c r="D22" s="15">
        <v>8</v>
      </c>
      <c r="G22" s="14" t="s">
        <v>51</v>
      </c>
      <c r="H22" t="s">
        <v>12</v>
      </c>
      <c r="I22">
        <v>1</v>
      </c>
      <c r="J22" t="str">
        <f>+VLOOKUP(validation.heroes[[#This Row],[Type]],$M$2:$N$4,2,FALSE)</f>
        <v>Elite</v>
      </c>
    </row>
    <row r="23" spans="3:10" x14ac:dyDescent="0.25">
      <c r="G23" s="14" t="s">
        <v>53</v>
      </c>
      <c r="H23" t="s">
        <v>10</v>
      </c>
      <c r="I23">
        <v>5</v>
      </c>
      <c r="J23" t="str">
        <f>+VLOOKUP(validation.heroes[[#This Row],[Type]],$M$2:$N$4,2,FALSE)</f>
        <v>Ordinary</v>
      </c>
    </row>
    <row r="24" spans="3:10" x14ac:dyDescent="0.25">
      <c r="G24" s="14" t="s">
        <v>55</v>
      </c>
      <c r="H24" t="s">
        <v>7</v>
      </c>
      <c r="I24">
        <v>29</v>
      </c>
      <c r="J24" t="str">
        <f>+VLOOKUP(validation.heroes[[#This Row],[Type]],$M$2:$N$4,2,FALSE)</f>
        <v>Legendary</v>
      </c>
    </row>
    <row r="25" spans="3:10" x14ac:dyDescent="0.25">
      <c r="G25" s="14" t="s">
        <v>56</v>
      </c>
      <c r="H25" t="s">
        <v>7</v>
      </c>
      <c r="I25">
        <v>36</v>
      </c>
      <c r="J25" t="str">
        <f>+VLOOKUP(validation.heroes[[#This Row],[Type]],$M$2:$N$4,2,FALSE)</f>
        <v>Legendary</v>
      </c>
    </row>
    <row r="26" spans="3:10" x14ac:dyDescent="0.25">
      <c r="G26" s="14" t="s">
        <v>57</v>
      </c>
      <c r="H26" t="s">
        <v>7</v>
      </c>
      <c r="I26">
        <v>10</v>
      </c>
      <c r="J26" t="str">
        <f>+VLOOKUP(validation.heroes[[#This Row],[Type]],$M$2:$N$4,2,FALSE)</f>
        <v>Legendary</v>
      </c>
    </row>
    <row r="27" spans="3:10" x14ac:dyDescent="0.25">
      <c r="G27" s="14" t="s">
        <v>58</v>
      </c>
      <c r="H27" t="s">
        <v>7</v>
      </c>
      <c r="I27">
        <v>26</v>
      </c>
      <c r="J27" t="str">
        <f>+VLOOKUP(validation.heroes[[#This Row],[Type]],$M$2:$N$4,2,FALSE)</f>
        <v>Legendary</v>
      </c>
    </row>
    <row r="28" spans="3:10" x14ac:dyDescent="0.25">
      <c r="G28" s="14" t="s">
        <v>59</v>
      </c>
      <c r="H28" t="s">
        <v>7</v>
      </c>
      <c r="I28">
        <v>44</v>
      </c>
      <c r="J28" t="str">
        <f>+VLOOKUP(validation.heroes[[#This Row],[Type]],$M$2:$N$4,2,FALSE)</f>
        <v>Legendary</v>
      </c>
    </row>
    <row r="29" spans="3:10" x14ac:dyDescent="0.25">
      <c r="G29" s="14" t="s">
        <v>60</v>
      </c>
      <c r="H29" t="s">
        <v>10</v>
      </c>
      <c r="I29">
        <v>3</v>
      </c>
      <c r="J29" t="str">
        <f>+VLOOKUP(validation.heroes[[#This Row],[Type]],$M$2:$N$4,2,FALSE)</f>
        <v>Ordinary</v>
      </c>
    </row>
    <row r="30" spans="3:10" x14ac:dyDescent="0.25">
      <c r="G30" s="14" t="s">
        <v>61</v>
      </c>
      <c r="H30" t="s">
        <v>12</v>
      </c>
      <c r="I30">
        <v>8</v>
      </c>
      <c r="J30" t="str">
        <f>+VLOOKUP(validation.heroes[[#This Row],[Type]],$M$2:$N$4,2,FALSE)</f>
        <v>Elite</v>
      </c>
    </row>
    <row r="31" spans="3:10" x14ac:dyDescent="0.25">
      <c r="G31" s="14" t="s">
        <v>62</v>
      </c>
      <c r="H31" t="s">
        <v>7</v>
      </c>
      <c r="I31">
        <v>14</v>
      </c>
      <c r="J31" t="str">
        <f>+VLOOKUP(validation.heroes[[#This Row],[Type]],$M$2:$N$4,2,FALSE)</f>
        <v>Legendary</v>
      </c>
    </row>
    <row r="32" spans="3:10" x14ac:dyDescent="0.25">
      <c r="G32" s="14" t="s">
        <v>63</v>
      </c>
      <c r="H32" t="s">
        <v>7</v>
      </c>
      <c r="I32">
        <v>35</v>
      </c>
      <c r="J32" t="str">
        <f>+VLOOKUP(validation.heroes[[#This Row],[Type]],$M$2:$N$4,2,FALSE)</f>
        <v>Legendary</v>
      </c>
    </row>
    <row r="33" spans="7:10" x14ac:dyDescent="0.25">
      <c r="G33" s="14" t="s">
        <v>64</v>
      </c>
      <c r="H33" t="s">
        <v>7</v>
      </c>
      <c r="I33">
        <v>42</v>
      </c>
      <c r="J33" t="str">
        <f>+VLOOKUP(validation.heroes[[#This Row],[Type]],$M$2:$N$4,2,FALSE)</f>
        <v>Legendary</v>
      </c>
    </row>
    <row r="34" spans="7:10" x14ac:dyDescent="0.25">
      <c r="G34" s="14" t="s">
        <v>65</v>
      </c>
      <c r="H34" t="s">
        <v>10</v>
      </c>
      <c r="I34">
        <v>8</v>
      </c>
      <c r="J34" t="str">
        <f>+VLOOKUP(validation.heroes[[#This Row],[Type]],$M$2:$N$4,2,FALSE)</f>
        <v>Ordinary</v>
      </c>
    </row>
    <row r="35" spans="7:10" x14ac:dyDescent="0.25">
      <c r="G35" s="14" t="s">
        <v>66</v>
      </c>
      <c r="H35" t="s">
        <v>10</v>
      </c>
      <c r="I35">
        <v>2</v>
      </c>
      <c r="J35" t="str">
        <f>+VLOOKUP(validation.heroes[[#This Row],[Type]],$M$2:$N$4,2,FALSE)</f>
        <v>Ordinary</v>
      </c>
    </row>
    <row r="36" spans="7:10" x14ac:dyDescent="0.25">
      <c r="G36" s="14" t="s">
        <v>67</v>
      </c>
      <c r="H36" t="s">
        <v>7</v>
      </c>
      <c r="I36">
        <v>38</v>
      </c>
      <c r="J36" t="str">
        <f>+VLOOKUP(validation.heroes[[#This Row],[Type]],$M$2:$N$4,2,FALSE)</f>
        <v>Legendary</v>
      </c>
    </row>
    <row r="37" spans="7:10" x14ac:dyDescent="0.25">
      <c r="G37" s="14" t="s">
        <v>68</v>
      </c>
      <c r="H37" t="s">
        <v>7</v>
      </c>
      <c r="I37">
        <v>43</v>
      </c>
      <c r="J37" t="str">
        <f>+VLOOKUP(validation.heroes[[#This Row],[Type]],$M$2:$N$4,2,FALSE)</f>
        <v>Legendary</v>
      </c>
    </row>
    <row r="38" spans="7:10" x14ac:dyDescent="0.25">
      <c r="G38" s="14" t="s">
        <v>69</v>
      </c>
      <c r="H38" t="s">
        <v>7</v>
      </c>
      <c r="I38">
        <v>9</v>
      </c>
      <c r="J38" t="str">
        <f>+VLOOKUP(validation.heroes[[#This Row],[Type]],$M$2:$N$4,2,FALSE)</f>
        <v>Legendary</v>
      </c>
    </row>
    <row r="39" spans="7:10" x14ac:dyDescent="0.25">
      <c r="G39" s="14" t="s">
        <v>70</v>
      </c>
      <c r="H39" t="s">
        <v>7</v>
      </c>
      <c r="I39">
        <v>15</v>
      </c>
      <c r="J39" t="str">
        <f>+VLOOKUP(validation.heroes[[#This Row],[Type]],$M$2:$N$4,2,FALSE)</f>
        <v>Legendary</v>
      </c>
    </row>
    <row r="40" spans="7:10" x14ac:dyDescent="0.25">
      <c r="G40" s="14" t="s">
        <v>71</v>
      </c>
      <c r="H40" t="s">
        <v>7</v>
      </c>
      <c r="I40">
        <v>3</v>
      </c>
      <c r="J40" t="str">
        <f>+VLOOKUP(validation.heroes[[#This Row],[Type]],$M$2:$N$4,2,FALSE)</f>
        <v>Legendary</v>
      </c>
    </row>
    <row r="41" spans="7:10" x14ac:dyDescent="0.25">
      <c r="G41" s="14" t="s">
        <v>72</v>
      </c>
      <c r="H41" t="s">
        <v>7</v>
      </c>
      <c r="I41">
        <v>19</v>
      </c>
      <c r="J41" t="str">
        <f>+VLOOKUP(validation.heroes[[#This Row],[Type]],$M$2:$N$4,2,FALSE)</f>
        <v>Legendary</v>
      </c>
    </row>
    <row r="42" spans="7:10" x14ac:dyDescent="0.25">
      <c r="G42" s="14" t="s">
        <v>73</v>
      </c>
      <c r="H42" t="s">
        <v>12</v>
      </c>
      <c r="I42">
        <v>5</v>
      </c>
      <c r="J42" t="str">
        <f>+VLOOKUP(validation.heroes[[#This Row],[Type]],$M$2:$N$4,2,FALSE)</f>
        <v>Elite</v>
      </c>
    </row>
    <row r="43" spans="7:10" x14ac:dyDescent="0.25">
      <c r="G43" s="14" t="s">
        <v>74</v>
      </c>
      <c r="H43" t="s">
        <v>7</v>
      </c>
      <c r="I43">
        <v>1</v>
      </c>
      <c r="J43" t="str">
        <f>+VLOOKUP(validation.heroes[[#This Row],[Type]],$M$2:$N$4,2,FALSE)</f>
        <v>Legendary</v>
      </c>
    </row>
    <row r="44" spans="7:10" x14ac:dyDescent="0.25">
      <c r="G44" s="14" t="s">
        <v>75</v>
      </c>
      <c r="H44" t="s">
        <v>7</v>
      </c>
      <c r="I44">
        <v>33</v>
      </c>
      <c r="J44" t="str">
        <f>+VLOOKUP(validation.heroes[[#This Row],[Type]],$M$2:$N$4,2,FALSE)</f>
        <v>Legendary</v>
      </c>
    </row>
    <row r="45" spans="7:10" x14ac:dyDescent="0.25">
      <c r="G45" s="14" t="s">
        <v>76</v>
      </c>
      <c r="H45" t="s">
        <v>7</v>
      </c>
      <c r="I45">
        <v>21</v>
      </c>
      <c r="J45" t="str">
        <f>+VLOOKUP(validation.heroes[[#This Row],[Type]],$M$2:$N$4,2,FALSE)</f>
        <v>Legendary</v>
      </c>
    </row>
    <row r="46" spans="7:10" x14ac:dyDescent="0.25">
      <c r="G46" s="14" t="s">
        <v>77</v>
      </c>
      <c r="H46" t="s">
        <v>7</v>
      </c>
      <c r="I46">
        <v>8</v>
      </c>
      <c r="J46" t="str">
        <f>+VLOOKUP(validation.heroes[[#This Row],[Type]],$M$2:$N$4,2,FALSE)</f>
        <v>Legendary</v>
      </c>
    </row>
    <row r="47" spans="7:10" x14ac:dyDescent="0.25">
      <c r="G47" s="14" t="s">
        <v>78</v>
      </c>
      <c r="H47" t="s">
        <v>7</v>
      </c>
      <c r="I47">
        <v>41</v>
      </c>
      <c r="J47" t="str">
        <f>+VLOOKUP(validation.heroes[[#This Row],[Type]],$M$2:$N$4,2,FALSE)</f>
        <v>Legendary</v>
      </c>
    </row>
    <row r="48" spans="7:10" x14ac:dyDescent="0.25">
      <c r="G48" s="14" t="s">
        <v>79</v>
      </c>
      <c r="H48" t="s">
        <v>7</v>
      </c>
      <c r="I48">
        <v>20</v>
      </c>
      <c r="J48" t="str">
        <f>+VLOOKUP(validation.heroes[[#This Row],[Type]],$M$2:$N$4,2,FALSE)</f>
        <v>Legendary</v>
      </c>
    </row>
    <row r="49" spans="7:10" x14ac:dyDescent="0.25">
      <c r="G49" s="14" t="s">
        <v>80</v>
      </c>
      <c r="H49" t="s">
        <v>12</v>
      </c>
      <c r="I49">
        <v>7</v>
      </c>
      <c r="J49" t="str">
        <f>+VLOOKUP(validation.heroes[[#This Row],[Type]],$M$2:$N$4,2,FALSE)</f>
        <v>Elite</v>
      </c>
    </row>
    <row r="50" spans="7:10" x14ac:dyDescent="0.25">
      <c r="G50" s="14" t="s">
        <v>81</v>
      </c>
      <c r="H50" t="s">
        <v>12</v>
      </c>
      <c r="I50">
        <v>6</v>
      </c>
      <c r="J50" t="str">
        <f>+VLOOKUP(validation.heroes[[#This Row],[Type]],$M$2:$N$4,2,FALSE)</f>
        <v>Elite</v>
      </c>
    </row>
    <row r="51" spans="7:10" x14ac:dyDescent="0.25">
      <c r="G51" s="14" t="s">
        <v>82</v>
      </c>
      <c r="H51" t="s">
        <v>7</v>
      </c>
      <c r="I51">
        <v>22</v>
      </c>
      <c r="J51" t="str">
        <f>+VLOOKUP(validation.heroes[[#This Row],[Type]],$M$2:$N$4,2,FALSE)</f>
        <v>Legendary</v>
      </c>
    </row>
    <row r="52" spans="7:10" x14ac:dyDescent="0.25">
      <c r="G52" s="14" t="s">
        <v>83</v>
      </c>
      <c r="H52" t="s">
        <v>7</v>
      </c>
      <c r="I52">
        <v>27</v>
      </c>
      <c r="J52" t="str">
        <f>+VLOOKUP(validation.heroes[[#This Row],[Type]],$M$2:$N$4,2,FALSE)</f>
        <v>Legendary</v>
      </c>
    </row>
    <row r="53" spans="7:10" x14ac:dyDescent="0.25">
      <c r="G53" s="14" t="s">
        <v>84</v>
      </c>
      <c r="H53" t="s">
        <v>7</v>
      </c>
      <c r="I53">
        <v>12</v>
      </c>
      <c r="J53" t="str">
        <f>+VLOOKUP(validation.heroes[[#This Row],[Type]],$M$2:$N$4,2,FALSE)</f>
        <v>Legendary</v>
      </c>
    </row>
    <row r="54" spans="7:10" x14ac:dyDescent="0.25">
      <c r="G54" s="14" t="s">
        <v>85</v>
      </c>
      <c r="H54" t="s">
        <v>7</v>
      </c>
      <c r="I54">
        <v>2</v>
      </c>
      <c r="J54" t="str">
        <f>+VLOOKUP(validation.heroes[[#This Row],[Type]],$M$2:$N$4,2,FALSE)</f>
        <v>Legendary</v>
      </c>
    </row>
    <row r="55" spans="7:10" x14ac:dyDescent="0.25">
      <c r="G55" s="14" t="s">
        <v>86</v>
      </c>
      <c r="H55" t="s">
        <v>7</v>
      </c>
      <c r="I55">
        <v>4</v>
      </c>
      <c r="J55" t="str">
        <f>+VLOOKUP(validation.heroes[[#This Row],[Type]],$M$2:$N$4,2,FALSE)</f>
        <v>Legendary</v>
      </c>
    </row>
    <row r="56" spans="7:10" x14ac:dyDescent="0.25">
      <c r="G56" s="14" t="s">
        <v>87</v>
      </c>
      <c r="H56" t="s">
        <v>7</v>
      </c>
      <c r="I56">
        <v>7</v>
      </c>
      <c r="J56" t="str">
        <f>+VLOOKUP(validation.heroes[[#This Row],[Type]],$M$2:$N$4,2,FALSE)</f>
        <v>Legendary</v>
      </c>
    </row>
    <row r="57" spans="7:10" x14ac:dyDescent="0.25">
      <c r="G57" s="14" t="s">
        <v>88</v>
      </c>
      <c r="H57" t="s">
        <v>7</v>
      </c>
      <c r="I57">
        <v>25</v>
      </c>
      <c r="J57" t="str">
        <f>+VLOOKUP(validation.heroes[[#This Row],[Type]],$M$2:$N$4,2,FALSE)</f>
        <v>Legendary</v>
      </c>
    </row>
    <row r="58" spans="7:10" x14ac:dyDescent="0.25">
      <c r="G58" s="14" t="s">
        <v>89</v>
      </c>
      <c r="H58" t="s">
        <v>12</v>
      </c>
      <c r="I58">
        <v>9</v>
      </c>
      <c r="J58" t="str">
        <f>+VLOOKUP(validation.heroes[[#This Row],[Type]],$M$2:$N$4,2,FALSE)</f>
        <v>Elite</v>
      </c>
    </row>
    <row r="59" spans="7:10" x14ac:dyDescent="0.25">
      <c r="G59" s="14" t="s">
        <v>90</v>
      </c>
      <c r="H59" t="s">
        <v>7</v>
      </c>
      <c r="I59">
        <v>40</v>
      </c>
      <c r="J59" t="str">
        <f>+VLOOKUP(validation.heroes[[#This Row],[Type]],$M$2:$N$4,2,FALSE)</f>
        <v>Legendary</v>
      </c>
    </row>
    <row r="60" spans="7:10" x14ac:dyDescent="0.25">
      <c r="G60" s="14" t="s">
        <v>91</v>
      </c>
      <c r="H60" t="s">
        <v>7</v>
      </c>
      <c r="I60">
        <v>32</v>
      </c>
      <c r="J60" t="str">
        <f>+VLOOKUP(validation.heroes[[#This Row],[Type]],$M$2:$N$4,2,FALSE)</f>
        <v>Legendary</v>
      </c>
    </row>
    <row r="61" spans="7:10" x14ac:dyDescent="0.25">
      <c r="G61" s="14" t="s">
        <v>92</v>
      </c>
      <c r="H61" t="s">
        <v>7</v>
      </c>
      <c r="I61">
        <v>17</v>
      </c>
      <c r="J61" t="str">
        <f>+VLOOKUP(validation.heroes[[#This Row],[Type]],$M$2:$N$4,2,FALSE)</f>
        <v>Legendary</v>
      </c>
    </row>
    <row r="62" spans="7:10" x14ac:dyDescent="0.25">
      <c r="G62" s="14" t="s">
        <v>93</v>
      </c>
      <c r="H62" t="s">
        <v>7</v>
      </c>
      <c r="I62">
        <v>24</v>
      </c>
      <c r="J62" t="str">
        <f>+VLOOKUP(validation.heroes[[#This Row],[Type]],$M$2:$N$4,2,FALSE)</f>
        <v>Legendary</v>
      </c>
    </row>
    <row r="63" spans="7:10" x14ac:dyDescent="0.25">
      <c r="G63" s="14" t="s">
        <v>94</v>
      </c>
      <c r="H63" t="s">
        <v>12</v>
      </c>
      <c r="I63">
        <v>3</v>
      </c>
      <c r="J63" t="str">
        <f>+VLOOKUP(validation.heroes[[#This Row],[Type]],$M$2:$N$4,2,FALSE)</f>
        <v>Elite</v>
      </c>
    </row>
  </sheetData>
  <sortState ref="L2:L4">
    <sortCondition ref="L2"/>
  </sortState>
  <pageMargins left="0.7" right="0.7" top="0.75" bottom="0.75" header="0.3" footer="0.3"/>
  <tableParts count="5">
    <tablePart r:id="rId1"/>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S64"/>
  <sheetViews>
    <sheetView workbookViewId="0"/>
  </sheetViews>
  <sheetFormatPr defaultRowHeight="15" x14ac:dyDescent="0.25"/>
  <cols>
    <col min="1" max="1" width="20.7109375" style="126" customWidth="1"/>
    <col min="2" max="4" width="11.5703125" style="126" customWidth="1"/>
    <col min="5" max="5" width="9.140625" style="126" customWidth="1"/>
    <col min="6" max="6" width="9.140625" style="126" hidden="1" customWidth="1"/>
    <col min="7" max="19" width="0" style="126" hidden="1" customWidth="1"/>
    <col min="20" max="16384" width="9.140625" style="126"/>
  </cols>
  <sheetData>
    <row r="1" spans="1:19" x14ac:dyDescent="0.25">
      <c r="A1" s="126" t="s">
        <v>4</v>
      </c>
      <c r="B1" s="126" t="s">
        <v>163</v>
      </c>
      <c r="C1" s="126" t="s">
        <v>165</v>
      </c>
      <c r="D1" s="126" t="s">
        <v>172</v>
      </c>
    </row>
    <row r="2" spans="1:19" ht="51" customHeight="1" x14ac:dyDescent="0.25">
      <c r="A2" s="129" t="s">
        <v>9</v>
      </c>
      <c r="F2" s="128" t="s">
        <v>167</v>
      </c>
      <c r="G2" s="128" t="str">
        <f>+"hero."&amp;SUBSTITUTE(SUBSTITUTE(LOWER(pictures.heroes[[#This Row],[Hero]])," ",""),"-","")&amp;".stage1"</f>
        <v>hero.alchemist.stage1</v>
      </c>
      <c r="H2" s="128" t="str">
        <f>+"hero."&amp;SUBSTITUTE(SUBSTITUTE(LOWER(pictures.heroes[[#This Row],[Hero]])," ",""),"-","")&amp;".stage2"</f>
        <v>hero.alchemist.stage2</v>
      </c>
      <c r="I2" s="128" t="str">
        <f>+"hero."&amp;SUBSTITUTE(SUBSTITUTE(LOWER(pictures.heroes[[#This Row],[Hero]])," ",""),"-","")&amp;".stage0"</f>
        <v>hero.alchemist.stage0</v>
      </c>
      <c r="J2" s="128" t="s">
        <v>173</v>
      </c>
      <c r="K2" s="128" t="s">
        <v>174</v>
      </c>
      <c r="L2" s="128" t="s">
        <v>175</v>
      </c>
      <c r="M2" s="126" t="s">
        <v>176</v>
      </c>
      <c r="N2" s="126" t="s">
        <v>177</v>
      </c>
      <c r="O2" s="128">
        <f>+ROW(pictures.skills[[#This Row],[Hero]])</f>
        <v>2</v>
      </c>
      <c r="P2" s="128" t="s">
        <v>168</v>
      </c>
      <c r="Q2" s="128" t="str">
        <f>+F2&amp;G2&amp;J2&amp;K2&amp;N2&amp;O2&amp;P2</f>
        <v>&lt;definedName name="hero.alchemist.stage1"&gt;'pictures-heroes'!$B$2&lt;/definedName&gt;</v>
      </c>
      <c r="R2" s="126" t="str">
        <f>+F2&amp;H2&amp;J2&amp;L2&amp;N2&amp;O2&amp;P2</f>
        <v>&lt;definedName name="hero.alchemist.stage2"&gt;'pictures-heroes'!$C$2&lt;/definedName&gt;</v>
      </c>
      <c r="S2" s="126" t="str">
        <f>+F2&amp;I2&amp;J2&amp;M2&amp;N2&amp;O2&amp;P2</f>
        <v>&lt;definedName name="hero.alchemist.stage0"&gt;'pictures-heroes'!$D$2&lt;/definedName&gt;</v>
      </c>
    </row>
    <row r="3" spans="1:19" ht="51" customHeight="1" x14ac:dyDescent="0.25">
      <c r="A3" s="129" t="s">
        <v>14</v>
      </c>
      <c r="F3" s="128" t="s">
        <v>167</v>
      </c>
      <c r="G3" s="128" t="str">
        <f>+"hero."&amp;SUBSTITUTE(SUBSTITUTE(LOWER(pictures.heroes[[#This Row],[Hero]])," ",""),"-","")&amp;".stage1"</f>
        <v>hero.angel.stage1</v>
      </c>
      <c r="H3" s="128" t="str">
        <f>+"hero."&amp;SUBSTITUTE(SUBSTITUTE(LOWER(pictures.heroes[[#This Row],[Hero]])," ",""),"-","")&amp;".stage2"</f>
        <v>hero.angel.stage2</v>
      </c>
      <c r="I3" s="128" t="str">
        <f>+"hero."&amp;SUBSTITUTE(SUBSTITUTE(LOWER(pictures.heroes[[#This Row],[Hero]])," ",""),"-","")&amp;".stage0"</f>
        <v>hero.angel.stage0</v>
      </c>
      <c r="J3" s="128" t="s">
        <v>173</v>
      </c>
      <c r="K3" s="128" t="s">
        <v>174</v>
      </c>
      <c r="L3" s="128" t="s">
        <v>175</v>
      </c>
      <c r="M3" s="126" t="s">
        <v>176</v>
      </c>
      <c r="N3" s="126" t="s">
        <v>177</v>
      </c>
      <c r="O3" s="128">
        <f>+ROW(pictures.skills[[#This Row],[Hero]])</f>
        <v>3</v>
      </c>
      <c r="P3" s="128" t="s">
        <v>168</v>
      </c>
      <c r="Q3" s="128" t="str">
        <f t="shared" ref="Q3:Q62" si="0">+F3&amp;G3&amp;J3&amp;K3&amp;N3&amp;O3&amp;P3</f>
        <v>&lt;definedName name="hero.angel.stage1"&gt;'pictures-heroes'!$B$3&lt;/definedName&gt;</v>
      </c>
      <c r="R3" s="126" t="str">
        <f t="shared" ref="R3:R62" si="1">+F3&amp;H3&amp;J3&amp;L3&amp;N3&amp;O3&amp;P3</f>
        <v>&lt;definedName name="hero.angel.stage2"&gt;'pictures-heroes'!$C$3&lt;/definedName&gt;</v>
      </c>
      <c r="S3" s="126" t="str">
        <f t="shared" ref="S3:S62" si="2">+F3&amp;I3&amp;J3&amp;M3&amp;N3&amp;O3&amp;P3</f>
        <v>&lt;definedName name="hero.angel.stage0"&gt;'pictures-heroes'!$D$3&lt;/definedName&gt;</v>
      </c>
    </row>
    <row r="4" spans="1:19" ht="51" customHeight="1" x14ac:dyDescent="0.25">
      <c r="A4" s="129" t="s">
        <v>195</v>
      </c>
      <c r="B4" s="128"/>
      <c r="C4" s="128"/>
      <c r="F4" s="128" t="s">
        <v>167</v>
      </c>
      <c r="G4" s="128" t="str">
        <f>+"hero."&amp;SUBSTITUTE(SUBSTITUTE(LOWER(pictures.heroes[[#This Row],[Hero]])," ",""),"-","")&amp;".stage1"</f>
        <v>hero.anubis.stage1</v>
      </c>
      <c r="H4" s="128" t="str">
        <f>+"hero."&amp;SUBSTITUTE(SUBSTITUTE(LOWER(pictures.heroes[[#This Row],[Hero]])," ",""),"-","")&amp;".stage2"</f>
        <v>hero.anubis.stage2</v>
      </c>
      <c r="I4" s="128" t="str">
        <f>+"hero."&amp;SUBSTITUTE(SUBSTITUTE(LOWER(pictures.heroes[[#This Row],[Hero]])," ",""),"-","")&amp;".stage0"</f>
        <v>hero.anubis.stage0</v>
      </c>
      <c r="J4" s="128" t="s">
        <v>173</v>
      </c>
      <c r="K4" s="128" t="s">
        <v>174</v>
      </c>
      <c r="L4" s="128" t="s">
        <v>175</v>
      </c>
      <c r="M4" s="126" t="s">
        <v>176</v>
      </c>
      <c r="N4" s="126" t="s">
        <v>177</v>
      </c>
      <c r="O4" s="128">
        <f>+ROW(pictures.skills[[#This Row],[Hero]])</f>
        <v>4</v>
      </c>
      <c r="P4" s="128" t="s">
        <v>168</v>
      </c>
      <c r="Q4" s="128" t="str">
        <f t="shared" si="0"/>
        <v>&lt;definedName name="hero.anubis.stage1"&gt;'pictures-heroes'!$B$4&lt;/definedName&gt;</v>
      </c>
      <c r="R4" s="126" t="str">
        <f t="shared" si="1"/>
        <v>&lt;definedName name="hero.anubis.stage2"&gt;'pictures-heroes'!$C$4&lt;/definedName&gt;</v>
      </c>
      <c r="S4" s="126" t="str">
        <f t="shared" si="2"/>
        <v>&lt;definedName name="hero.anubis.stage0"&gt;'pictures-heroes'!$D$4&lt;/definedName&gt;</v>
      </c>
    </row>
    <row r="5" spans="1:19" ht="51" customHeight="1" x14ac:dyDescent="0.25">
      <c r="A5" s="129" t="s">
        <v>17</v>
      </c>
      <c r="F5" s="128" t="s">
        <v>167</v>
      </c>
      <c r="G5" s="128" t="str">
        <f>+"hero."&amp;SUBSTITUTE(SUBSTITUTE(LOWER(pictures.heroes[[#This Row],[Hero]])," ",""),"-","")&amp;".stage1"</f>
        <v>hero.arctica.stage1</v>
      </c>
      <c r="H5" s="128" t="str">
        <f>+"hero."&amp;SUBSTITUTE(SUBSTITUTE(LOWER(pictures.heroes[[#This Row],[Hero]])," ",""),"-","")&amp;".stage2"</f>
        <v>hero.arctica.stage2</v>
      </c>
      <c r="I5" s="128" t="str">
        <f>+"hero."&amp;SUBSTITUTE(SUBSTITUTE(LOWER(pictures.heroes[[#This Row],[Hero]])," ",""),"-","")&amp;".stage0"</f>
        <v>hero.arctica.stage0</v>
      </c>
      <c r="J5" s="128" t="s">
        <v>173</v>
      </c>
      <c r="K5" s="128" t="s">
        <v>174</v>
      </c>
      <c r="L5" s="128" t="s">
        <v>175</v>
      </c>
      <c r="M5" s="126" t="s">
        <v>176</v>
      </c>
      <c r="N5" s="126" t="s">
        <v>177</v>
      </c>
      <c r="O5" s="128">
        <f>+ROW(pictures.skills[[#This Row],[Hero]])</f>
        <v>5</v>
      </c>
      <c r="P5" s="128" t="s">
        <v>168</v>
      </c>
      <c r="Q5" s="128" t="str">
        <f t="shared" si="0"/>
        <v>&lt;definedName name="hero.arctica.stage1"&gt;'pictures-heroes'!$B$5&lt;/definedName&gt;</v>
      </c>
      <c r="R5" s="126" t="str">
        <f t="shared" si="1"/>
        <v>&lt;definedName name="hero.arctica.stage2"&gt;'pictures-heroes'!$C$5&lt;/definedName&gt;</v>
      </c>
      <c r="S5" s="126" t="str">
        <f t="shared" si="2"/>
        <v>&lt;definedName name="hero.arctica.stage0"&gt;'pictures-heroes'!$D$5&lt;/definedName&gt;</v>
      </c>
    </row>
    <row r="6" spans="1:19" ht="51" customHeight="1" x14ac:dyDescent="0.25">
      <c r="A6" s="129" t="s">
        <v>19</v>
      </c>
      <c r="F6" s="128" t="s">
        <v>167</v>
      </c>
      <c r="G6" s="128" t="str">
        <f>+"hero."&amp;SUBSTITUTE(SUBSTITUTE(LOWER(pictures.heroes[[#This Row],[Hero]])," ",""),"-","")&amp;".stage1"</f>
        <v>hero.aries.stage1</v>
      </c>
      <c r="H6" s="128" t="str">
        <f>+"hero."&amp;SUBSTITUTE(SUBSTITUTE(LOWER(pictures.heroes[[#This Row],[Hero]])," ",""),"-","")&amp;".stage2"</f>
        <v>hero.aries.stage2</v>
      </c>
      <c r="I6" s="128" t="str">
        <f>+"hero."&amp;SUBSTITUTE(SUBSTITUTE(LOWER(pictures.heroes[[#This Row],[Hero]])," ",""),"-","")&amp;".stage0"</f>
        <v>hero.aries.stage0</v>
      </c>
      <c r="J6" s="128" t="s">
        <v>173</v>
      </c>
      <c r="K6" s="128" t="s">
        <v>174</v>
      </c>
      <c r="L6" s="128" t="s">
        <v>175</v>
      </c>
      <c r="M6" s="126" t="s">
        <v>176</v>
      </c>
      <c r="N6" s="126" t="s">
        <v>177</v>
      </c>
      <c r="O6" s="128">
        <f>+ROW(pictures.skills[[#This Row],[Hero]])</f>
        <v>6</v>
      </c>
      <c r="P6" s="128" t="s">
        <v>168</v>
      </c>
      <c r="Q6" s="128" t="str">
        <f t="shared" si="0"/>
        <v>&lt;definedName name="hero.aries.stage1"&gt;'pictures-heroes'!$B$6&lt;/definedName&gt;</v>
      </c>
      <c r="R6" s="126" t="str">
        <f t="shared" si="1"/>
        <v>&lt;definedName name="hero.aries.stage2"&gt;'pictures-heroes'!$C$6&lt;/definedName&gt;</v>
      </c>
      <c r="S6" s="126" t="str">
        <f t="shared" si="2"/>
        <v>&lt;definedName name="hero.aries.stage0"&gt;'pictures-heroes'!$D$6&lt;/definedName&gt;</v>
      </c>
    </row>
    <row r="7" spans="1:19" ht="51" customHeight="1" x14ac:dyDescent="0.25">
      <c r="A7" s="129" t="s">
        <v>21</v>
      </c>
      <c r="F7" s="128" t="s">
        <v>167</v>
      </c>
      <c r="G7" s="128" t="str">
        <f>+"hero."&amp;SUBSTITUTE(SUBSTITUTE(LOWER(pictures.heroes[[#This Row],[Hero]])," ",""),"-","")&amp;".stage1"</f>
        <v>hero.assassin.stage1</v>
      </c>
      <c r="H7" s="128" t="str">
        <f>+"hero."&amp;SUBSTITUTE(SUBSTITUTE(LOWER(pictures.heroes[[#This Row],[Hero]])," ",""),"-","")&amp;".stage2"</f>
        <v>hero.assassin.stage2</v>
      </c>
      <c r="I7" s="128" t="str">
        <f>+"hero."&amp;SUBSTITUTE(SUBSTITUTE(LOWER(pictures.heroes[[#This Row],[Hero]])," ",""),"-","")&amp;".stage0"</f>
        <v>hero.assassin.stage0</v>
      </c>
      <c r="J7" s="128" t="s">
        <v>173</v>
      </c>
      <c r="K7" s="128" t="s">
        <v>174</v>
      </c>
      <c r="L7" s="128" t="s">
        <v>175</v>
      </c>
      <c r="M7" s="126" t="s">
        <v>176</v>
      </c>
      <c r="N7" s="126" t="s">
        <v>177</v>
      </c>
      <c r="O7" s="128">
        <f>+ROW(pictures.skills[[#This Row],[Hero]])</f>
        <v>7</v>
      </c>
      <c r="P7" s="128" t="s">
        <v>168</v>
      </c>
      <c r="Q7" s="128" t="str">
        <f t="shared" si="0"/>
        <v>&lt;definedName name="hero.assassin.stage1"&gt;'pictures-heroes'!$B$7&lt;/definedName&gt;</v>
      </c>
      <c r="R7" s="126" t="str">
        <f t="shared" si="1"/>
        <v>&lt;definedName name="hero.assassin.stage2"&gt;'pictures-heroes'!$C$7&lt;/definedName&gt;</v>
      </c>
      <c r="S7" s="126" t="str">
        <f t="shared" si="2"/>
        <v>&lt;definedName name="hero.assassin.stage0"&gt;'pictures-heroes'!$D$7&lt;/definedName&gt;</v>
      </c>
    </row>
    <row r="8" spans="1:19" ht="51" customHeight="1" x14ac:dyDescent="0.25">
      <c r="A8" s="129" t="s">
        <v>23</v>
      </c>
      <c r="F8" s="128" t="s">
        <v>167</v>
      </c>
      <c r="G8" s="128" t="str">
        <f>+"hero."&amp;SUBSTITUTE(SUBSTITUTE(LOWER(pictures.heroes[[#This Row],[Hero]])," ",""),"-","")&amp;".stage1"</f>
        <v>hero.atlanticore.stage1</v>
      </c>
      <c r="H8" s="128" t="str">
        <f>+"hero."&amp;SUBSTITUTE(SUBSTITUTE(LOWER(pictures.heroes[[#This Row],[Hero]])," ",""),"-","")&amp;".stage2"</f>
        <v>hero.atlanticore.stage2</v>
      </c>
      <c r="I8" s="128" t="str">
        <f>+"hero."&amp;SUBSTITUTE(SUBSTITUTE(LOWER(pictures.heroes[[#This Row],[Hero]])," ",""),"-","")&amp;".stage0"</f>
        <v>hero.atlanticore.stage0</v>
      </c>
      <c r="J8" s="128" t="s">
        <v>173</v>
      </c>
      <c r="K8" s="128" t="s">
        <v>174</v>
      </c>
      <c r="L8" s="128" t="s">
        <v>175</v>
      </c>
      <c r="M8" s="126" t="s">
        <v>176</v>
      </c>
      <c r="N8" s="126" t="s">
        <v>177</v>
      </c>
      <c r="O8" s="128">
        <f>+ROW(pictures.skills[[#This Row],[Hero]])</f>
        <v>8</v>
      </c>
      <c r="P8" s="128" t="s">
        <v>168</v>
      </c>
      <c r="Q8" s="128" t="str">
        <f t="shared" si="0"/>
        <v>&lt;definedName name="hero.atlanticore.stage1"&gt;'pictures-heroes'!$B$8&lt;/definedName&gt;</v>
      </c>
      <c r="R8" s="126" t="str">
        <f t="shared" si="1"/>
        <v>&lt;definedName name="hero.atlanticore.stage2"&gt;'pictures-heroes'!$C$8&lt;/definedName&gt;</v>
      </c>
      <c r="S8" s="126" t="str">
        <f t="shared" si="2"/>
        <v>&lt;definedName name="hero.atlanticore.stage0"&gt;'pictures-heroes'!$D$8&lt;/definedName&gt;</v>
      </c>
    </row>
    <row r="9" spans="1:19" ht="51" customHeight="1" x14ac:dyDescent="0.25">
      <c r="A9" s="129" t="s">
        <v>25</v>
      </c>
      <c r="F9" s="128" t="s">
        <v>167</v>
      </c>
      <c r="G9" s="128" t="str">
        <f>+"hero."&amp;SUBSTITUTE(SUBSTITUTE(LOWER(pictures.heroes[[#This Row],[Hero]])," ",""),"-","")&amp;".stage1"</f>
        <v>hero.beasttamer.stage1</v>
      </c>
      <c r="H9" s="128" t="str">
        <f>+"hero."&amp;SUBSTITUTE(SUBSTITUTE(LOWER(pictures.heroes[[#This Row],[Hero]])," ",""),"-","")&amp;".stage2"</f>
        <v>hero.beasttamer.stage2</v>
      </c>
      <c r="I9" s="128" t="str">
        <f>+"hero."&amp;SUBSTITUTE(SUBSTITUTE(LOWER(pictures.heroes[[#This Row],[Hero]])," ",""),"-","")&amp;".stage0"</f>
        <v>hero.beasttamer.stage0</v>
      </c>
      <c r="J9" s="128" t="s">
        <v>173</v>
      </c>
      <c r="K9" s="128" t="s">
        <v>174</v>
      </c>
      <c r="L9" s="128" t="s">
        <v>175</v>
      </c>
      <c r="M9" s="126" t="s">
        <v>176</v>
      </c>
      <c r="N9" s="126" t="s">
        <v>177</v>
      </c>
      <c r="O9" s="128">
        <f>+ROW(pictures.skills[[#This Row],[Hero]])</f>
        <v>9</v>
      </c>
      <c r="P9" s="128" t="s">
        <v>168</v>
      </c>
      <c r="Q9" s="128" t="str">
        <f t="shared" si="0"/>
        <v>&lt;definedName name="hero.beasttamer.stage1"&gt;'pictures-heroes'!$B$9&lt;/definedName&gt;</v>
      </c>
      <c r="R9" s="126" t="str">
        <f t="shared" si="1"/>
        <v>&lt;definedName name="hero.beasttamer.stage2"&gt;'pictures-heroes'!$C$9&lt;/definedName&gt;</v>
      </c>
      <c r="S9" s="126" t="str">
        <f t="shared" si="2"/>
        <v>&lt;definedName name="hero.beasttamer.stage0"&gt;'pictures-heroes'!$D$9&lt;/definedName&gt;</v>
      </c>
    </row>
    <row r="10" spans="1:19" ht="51" customHeight="1" x14ac:dyDescent="0.25">
      <c r="A10" s="129" t="s">
        <v>27</v>
      </c>
      <c r="F10" s="128" t="s">
        <v>167</v>
      </c>
      <c r="G10" s="128" t="str">
        <f>+"hero."&amp;SUBSTITUTE(SUBSTITUTE(LOWER(pictures.heroes[[#This Row],[Hero]])," ",""),"-","")&amp;".stage1"</f>
        <v>hero.candykane.stage1</v>
      </c>
      <c r="H10" s="128" t="str">
        <f>+"hero."&amp;SUBSTITUTE(SUBSTITUTE(LOWER(pictures.heroes[[#This Row],[Hero]])," ",""),"-","")&amp;".stage2"</f>
        <v>hero.candykane.stage2</v>
      </c>
      <c r="I10" s="128" t="str">
        <f>+"hero."&amp;SUBSTITUTE(SUBSTITUTE(LOWER(pictures.heroes[[#This Row],[Hero]])," ",""),"-","")&amp;".stage0"</f>
        <v>hero.candykane.stage0</v>
      </c>
      <c r="J10" s="128" t="s">
        <v>173</v>
      </c>
      <c r="K10" s="128" t="s">
        <v>174</v>
      </c>
      <c r="L10" s="128" t="s">
        <v>175</v>
      </c>
      <c r="M10" s="126" t="s">
        <v>176</v>
      </c>
      <c r="N10" s="126" t="s">
        <v>177</v>
      </c>
      <c r="O10" s="128">
        <f>+ROW(pictures.skills[[#This Row],[Hero]])</f>
        <v>10</v>
      </c>
      <c r="P10" s="128" t="s">
        <v>168</v>
      </c>
      <c r="Q10" s="128" t="str">
        <f t="shared" si="0"/>
        <v>&lt;definedName name="hero.candykane.stage1"&gt;'pictures-heroes'!$B$10&lt;/definedName&gt;</v>
      </c>
      <c r="R10" s="126" t="str">
        <f t="shared" si="1"/>
        <v>&lt;definedName name="hero.candykane.stage2"&gt;'pictures-heroes'!$C$10&lt;/definedName&gt;</v>
      </c>
      <c r="S10" s="126" t="str">
        <f t="shared" si="2"/>
        <v>&lt;definedName name="hero.candykane.stage0"&gt;'pictures-heroes'!$D$10&lt;/definedName&gt;</v>
      </c>
    </row>
    <row r="11" spans="1:19" ht="51" customHeight="1" x14ac:dyDescent="0.25">
      <c r="A11" s="129" t="s">
        <v>29</v>
      </c>
      <c r="F11" s="128" t="s">
        <v>167</v>
      </c>
      <c r="G11" s="128" t="str">
        <f>+"hero."&amp;SUBSTITUTE(SUBSTITUTE(LOWER(pictures.heroes[[#This Row],[Hero]])," ",""),"-","")&amp;".stage1"</f>
        <v>hero.champion.stage1</v>
      </c>
      <c r="H11" s="128" t="str">
        <f>+"hero."&amp;SUBSTITUTE(SUBSTITUTE(LOWER(pictures.heroes[[#This Row],[Hero]])," ",""),"-","")&amp;".stage2"</f>
        <v>hero.champion.stage2</v>
      </c>
      <c r="I11" s="128" t="str">
        <f>+"hero."&amp;SUBSTITUTE(SUBSTITUTE(LOWER(pictures.heroes[[#This Row],[Hero]])," ",""),"-","")&amp;".stage0"</f>
        <v>hero.champion.stage0</v>
      </c>
      <c r="J11" s="128" t="s">
        <v>173</v>
      </c>
      <c r="K11" s="128" t="s">
        <v>174</v>
      </c>
      <c r="L11" s="128" t="s">
        <v>175</v>
      </c>
      <c r="M11" s="126" t="s">
        <v>176</v>
      </c>
      <c r="N11" s="126" t="s">
        <v>177</v>
      </c>
      <c r="O11" s="128">
        <f>+ROW(pictures.skills[[#This Row],[Hero]])</f>
        <v>11</v>
      </c>
      <c r="P11" s="128" t="s">
        <v>168</v>
      </c>
      <c r="Q11" s="128" t="str">
        <f t="shared" si="0"/>
        <v>&lt;definedName name="hero.champion.stage1"&gt;'pictures-heroes'!$B$11&lt;/definedName&gt;</v>
      </c>
      <c r="R11" s="126" t="str">
        <f t="shared" si="1"/>
        <v>&lt;definedName name="hero.champion.stage2"&gt;'pictures-heroes'!$C$11&lt;/definedName&gt;</v>
      </c>
      <c r="S11" s="126" t="str">
        <f t="shared" si="2"/>
        <v>&lt;definedName name="hero.champion.stage0"&gt;'pictures-heroes'!$D$11&lt;/definedName&gt;</v>
      </c>
    </row>
    <row r="12" spans="1:19" ht="51" customHeight="1" x14ac:dyDescent="0.25">
      <c r="A12" s="129" t="s">
        <v>31</v>
      </c>
      <c r="F12" s="128" t="s">
        <v>167</v>
      </c>
      <c r="G12" s="128" t="str">
        <f>+"hero."&amp;SUBSTITUTE(SUBSTITUTE(LOWER(pictures.heroes[[#This Row],[Hero]])," ",""),"-","")&amp;".stage1"</f>
        <v>hero.cupid.stage1</v>
      </c>
      <c r="H12" s="128" t="str">
        <f>+"hero."&amp;SUBSTITUTE(SUBSTITUTE(LOWER(pictures.heroes[[#This Row],[Hero]])," ",""),"-","")&amp;".stage2"</f>
        <v>hero.cupid.stage2</v>
      </c>
      <c r="I12" s="128" t="str">
        <f>+"hero."&amp;SUBSTITUTE(SUBSTITUTE(LOWER(pictures.heroes[[#This Row],[Hero]])," ",""),"-","")&amp;".stage0"</f>
        <v>hero.cupid.stage0</v>
      </c>
      <c r="J12" s="128" t="s">
        <v>173</v>
      </c>
      <c r="K12" s="128" t="s">
        <v>174</v>
      </c>
      <c r="L12" s="128" t="s">
        <v>175</v>
      </c>
      <c r="M12" s="126" t="s">
        <v>176</v>
      </c>
      <c r="N12" s="126" t="s">
        <v>177</v>
      </c>
      <c r="O12" s="128">
        <f>+ROW(pictures.skills[[#This Row],[Hero]])</f>
        <v>12</v>
      </c>
      <c r="P12" s="128" t="s">
        <v>168</v>
      </c>
      <c r="Q12" s="128" t="str">
        <f t="shared" si="0"/>
        <v>&lt;definedName name="hero.cupid.stage1"&gt;'pictures-heroes'!$B$12&lt;/definedName&gt;</v>
      </c>
      <c r="R12" s="126" t="str">
        <f t="shared" si="1"/>
        <v>&lt;definedName name="hero.cupid.stage2"&gt;'pictures-heroes'!$C$12&lt;/definedName&gt;</v>
      </c>
      <c r="S12" s="126" t="str">
        <f t="shared" si="2"/>
        <v>&lt;definedName name="hero.cupid.stage0"&gt;'pictures-heroes'!$D$12&lt;/definedName&gt;</v>
      </c>
    </row>
    <row r="13" spans="1:19" ht="51" customHeight="1" x14ac:dyDescent="0.25">
      <c r="A13" s="129" t="s">
        <v>33</v>
      </c>
      <c r="F13" s="128" t="s">
        <v>167</v>
      </c>
      <c r="G13" s="128" t="str">
        <f>+"hero."&amp;SUBSTITUTE(SUBSTITUTE(LOWER(pictures.heroes[[#This Row],[Hero]])," ",""),"-","")&amp;".stage1"</f>
        <v>hero.cyclops.stage1</v>
      </c>
      <c r="H13" s="128" t="str">
        <f>+"hero."&amp;SUBSTITUTE(SUBSTITUTE(LOWER(pictures.heroes[[#This Row],[Hero]])," ",""),"-","")&amp;".stage2"</f>
        <v>hero.cyclops.stage2</v>
      </c>
      <c r="I13" s="128" t="str">
        <f>+"hero."&amp;SUBSTITUTE(SUBSTITUTE(LOWER(pictures.heroes[[#This Row],[Hero]])," ",""),"-","")&amp;".stage0"</f>
        <v>hero.cyclops.stage0</v>
      </c>
      <c r="J13" s="128" t="s">
        <v>173</v>
      </c>
      <c r="K13" s="128" t="s">
        <v>174</v>
      </c>
      <c r="L13" s="128" t="s">
        <v>175</v>
      </c>
      <c r="M13" s="126" t="s">
        <v>176</v>
      </c>
      <c r="N13" s="126" t="s">
        <v>177</v>
      </c>
      <c r="O13" s="128">
        <f>+ROW(pictures.skills[[#This Row],[Hero]])</f>
        <v>13</v>
      </c>
      <c r="P13" s="128" t="s">
        <v>168</v>
      </c>
      <c r="Q13" s="128" t="str">
        <f t="shared" si="0"/>
        <v>&lt;definedName name="hero.cyclops.stage1"&gt;'pictures-heroes'!$B$13&lt;/definedName&gt;</v>
      </c>
      <c r="R13" s="126" t="str">
        <f t="shared" si="1"/>
        <v>&lt;definedName name="hero.cyclops.stage2"&gt;'pictures-heroes'!$C$13&lt;/definedName&gt;</v>
      </c>
      <c r="S13" s="126" t="str">
        <f t="shared" si="2"/>
        <v>&lt;definedName name="hero.cyclops.stage0"&gt;'pictures-heroes'!$D$13&lt;/definedName&gt;</v>
      </c>
    </row>
    <row r="14" spans="1:19" ht="51" customHeight="1" x14ac:dyDescent="0.25">
      <c r="A14" s="129" t="s">
        <v>35</v>
      </c>
      <c r="F14" s="128" t="s">
        <v>167</v>
      </c>
      <c r="G14" s="128" t="str">
        <f>+"hero."&amp;SUBSTITUTE(SUBSTITUTE(LOWER(pictures.heroes[[#This Row],[Hero]])," ",""),"-","")&amp;".stage1"</f>
        <v>hero.deathknight.stage1</v>
      </c>
      <c r="H14" s="128" t="str">
        <f>+"hero."&amp;SUBSTITUTE(SUBSTITUTE(LOWER(pictures.heroes[[#This Row],[Hero]])," ",""),"-","")&amp;".stage2"</f>
        <v>hero.deathknight.stage2</v>
      </c>
      <c r="I14" s="128" t="str">
        <f>+"hero."&amp;SUBSTITUTE(SUBSTITUTE(LOWER(pictures.heroes[[#This Row],[Hero]])," ",""),"-","")&amp;".stage0"</f>
        <v>hero.deathknight.stage0</v>
      </c>
      <c r="J14" s="128" t="s">
        <v>173</v>
      </c>
      <c r="K14" s="128" t="s">
        <v>174</v>
      </c>
      <c r="L14" s="128" t="s">
        <v>175</v>
      </c>
      <c r="M14" s="126" t="s">
        <v>176</v>
      </c>
      <c r="N14" s="126" t="s">
        <v>177</v>
      </c>
      <c r="O14" s="128">
        <f>+ROW(pictures.skills[[#This Row],[Hero]])</f>
        <v>14</v>
      </c>
      <c r="P14" s="128" t="s">
        <v>168</v>
      </c>
      <c r="Q14" s="128" t="str">
        <f t="shared" si="0"/>
        <v>&lt;definedName name="hero.deathknight.stage1"&gt;'pictures-heroes'!$B$14&lt;/definedName&gt;</v>
      </c>
      <c r="R14" s="126" t="str">
        <f t="shared" si="1"/>
        <v>&lt;definedName name="hero.deathknight.stage2"&gt;'pictures-heroes'!$C$14&lt;/definedName&gt;</v>
      </c>
      <c r="S14" s="126" t="str">
        <f t="shared" si="2"/>
        <v>&lt;definedName name="hero.deathknight.stage0"&gt;'pictures-heroes'!$D$14&lt;/definedName&gt;</v>
      </c>
    </row>
    <row r="15" spans="1:19" ht="51" customHeight="1" x14ac:dyDescent="0.25">
      <c r="A15" s="129" t="s">
        <v>37</v>
      </c>
      <c r="F15" s="128" t="s">
        <v>167</v>
      </c>
      <c r="G15" s="128" t="str">
        <f>+"hero."&amp;SUBSTITUTE(SUBSTITUTE(LOWER(pictures.heroes[[#This Row],[Hero]])," ",""),"-","")&amp;".stage1"</f>
        <v>hero.demogorgon.stage1</v>
      </c>
      <c r="H15" s="128" t="str">
        <f>+"hero."&amp;SUBSTITUTE(SUBSTITUTE(LOWER(pictures.heroes[[#This Row],[Hero]])," ",""),"-","")&amp;".stage2"</f>
        <v>hero.demogorgon.stage2</v>
      </c>
      <c r="I15" s="128" t="str">
        <f>+"hero."&amp;SUBSTITUTE(SUBSTITUTE(LOWER(pictures.heroes[[#This Row],[Hero]])," ",""),"-","")&amp;".stage0"</f>
        <v>hero.demogorgon.stage0</v>
      </c>
      <c r="J15" s="128" t="s">
        <v>173</v>
      </c>
      <c r="K15" s="128" t="s">
        <v>174</v>
      </c>
      <c r="L15" s="128" t="s">
        <v>175</v>
      </c>
      <c r="M15" s="126" t="s">
        <v>176</v>
      </c>
      <c r="N15" s="126" t="s">
        <v>177</v>
      </c>
      <c r="O15" s="128">
        <f>+ROW(pictures.skills[[#This Row],[Hero]])</f>
        <v>15</v>
      </c>
      <c r="P15" s="128" t="s">
        <v>168</v>
      </c>
      <c r="Q15" s="128" t="str">
        <f t="shared" si="0"/>
        <v>&lt;definedName name="hero.demogorgon.stage1"&gt;'pictures-heroes'!$B$15&lt;/definedName&gt;</v>
      </c>
      <c r="R15" s="126" t="str">
        <f t="shared" si="1"/>
        <v>&lt;definedName name="hero.demogorgon.stage2"&gt;'pictures-heroes'!$C$15&lt;/definedName&gt;</v>
      </c>
      <c r="S15" s="126" t="str">
        <f t="shared" si="2"/>
        <v>&lt;definedName name="hero.demogorgon.stage0"&gt;'pictures-heroes'!$D$15&lt;/definedName&gt;</v>
      </c>
    </row>
    <row r="16" spans="1:19" ht="51" customHeight="1" x14ac:dyDescent="0.25">
      <c r="A16" s="129" t="s">
        <v>39</v>
      </c>
      <c r="F16" s="128" t="s">
        <v>167</v>
      </c>
      <c r="G16" s="128" t="str">
        <f>+"hero."&amp;SUBSTITUTE(SUBSTITUTE(LOWER(pictures.heroes[[#This Row],[Hero]])," ",""),"-","")&amp;".stage1"</f>
        <v>hero.destroyer.stage1</v>
      </c>
      <c r="H16" s="128" t="str">
        <f>+"hero."&amp;SUBSTITUTE(SUBSTITUTE(LOWER(pictures.heroes[[#This Row],[Hero]])," ",""),"-","")&amp;".stage2"</f>
        <v>hero.destroyer.stage2</v>
      </c>
      <c r="I16" s="128" t="str">
        <f>+"hero."&amp;SUBSTITUTE(SUBSTITUTE(LOWER(pictures.heroes[[#This Row],[Hero]])," ",""),"-","")&amp;".stage0"</f>
        <v>hero.destroyer.stage0</v>
      </c>
      <c r="J16" s="128" t="s">
        <v>173</v>
      </c>
      <c r="K16" s="128" t="s">
        <v>174</v>
      </c>
      <c r="L16" s="128" t="s">
        <v>175</v>
      </c>
      <c r="M16" s="126" t="s">
        <v>176</v>
      </c>
      <c r="N16" s="126" t="s">
        <v>177</v>
      </c>
      <c r="O16" s="128">
        <f>+ROW(pictures.skills[[#This Row],[Hero]])</f>
        <v>16</v>
      </c>
      <c r="P16" s="128" t="s">
        <v>168</v>
      </c>
      <c r="Q16" s="128" t="str">
        <f t="shared" si="0"/>
        <v>&lt;definedName name="hero.destroyer.stage1"&gt;'pictures-heroes'!$B$16&lt;/definedName&gt;</v>
      </c>
      <c r="R16" s="126" t="str">
        <f t="shared" si="1"/>
        <v>&lt;definedName name="hero.destroyer.stage2"&gt;'pictures-heroes'!$C$16&lt;/definedName&gt;</v>
      </c>
      <c r="S16" s="126" t="str">
        <f t="shared" si="2"/>
        <v>&lt;definedName name="hero.destroyer.stage0"&gt;'pictures-heroes'!$D$16&lt;/definedName&gt;</v>
      </c>
    </row>
    <row r="17" spans="1:19" ht="51" customHeight="1" x14ac:dyDescent="0.25">
      <c r="A17" s="129" t="s">
        <v>41</v>
      </c>
      <c r="F17" s="128" t="s">
        <v>167</v>
      </c>
      <c r="G17" s="128" t="str">
        <f>+"hero."&amp;SUBSTITUTE(SUBSTITUTE(LOWER(pictures.heroes[[#This Row],[Hero]])," ",""),"-","")&amp;".stage1"</f>
        <v>hero.dracax.stage1</v>
      </c>
      <c r="H17" s="128" t="str">
        <f>+"hero."&amp;SUBSTITUTE(SUBSTITUTE(LOWER(pictures.heroes[[#This Row],[Hero]])," ",""),"-","")&amp;".stage2"</f>
        <v>hero.dracax.stage2</v>
      </c>
      <c r="I17" s="128" t="str">
        <f>+"hero."&amp;SUBSTITUTE(SUBSTITUTE(LOWER(pictures.heroes[[#This Row],[Hero]])," ",""),"-","")&amp;".stage0"</f>
        <v>hero.dracax.stage0</v>
      </c>
      <c r="J17" s="128" t="s">
        <v>173</v>
      </c>
      <c r="K17" s="128" t="s">
        <v>174</v>
      </c>
      <c r="L17" s="128" t="s">
        <v>175</v>
      </c>
      <c r="M17" s="126" t="s">
        <v>176</v>
      </c>
      <c r="N17" s="126" t="s">
        <v>177</v>
      </c>
      <c r="O17" s="128">
        <f>+ROW(pictures.skills[[#This Row],[Hero]])</f>
        <v>17</v>
      </c>
      <c r="P17" s="128" t="s">
        <v>168</v>
      </c>
      <c r="Q17" s="128" t="str">
        <f t="shared" si="0"/>
        <v>&lt;definedName name="hero.dracax.stage1"&gt;'pictures-heroes'!$B$17&lt;/definedName&gt;</v>
      </c>
      <c r="R17" s="126" t="str">
        <f t="shared" si="1"/>
        <v>&lt;definedName name="hero.dracax.stage2"&gt;'pictures-heroes'!$C$17&lt;/definedName&gt;</v>
      </c>
      <c r="S17" s="126" t="str">
        <f t="shared" si="2"/>
        <v>&lt;definedName name="hero.dracax.stage0"&gt;'pictures-heroes'!$D$17&lt;/definedName&gt;</v>
      </c>
    </row>
    <row r="18" spans="1:19" ht="51" customHeight="1" x14ac:dyDescent="0.25">
      <c r="A18" s="129" t="s">
        <v>43</v>
      </c>
      <c r="F18" s="128" t="s">
        <v>167</v>
      </c>
      <c r="G18" s="128" t="str">
        <f>+"hero."&amp;SUBSTITUTE(SUBSTITUTE(LOWER(pictures.heroes[[#This Row],[Hero]])," ",""),"-","")&amp;".stage1"</f>
        <v>hero.dreaddrake.stage1</v>
      </c>
      <c r="H18" s="128" t="str">
        <f>+"hero."&amp;SUBSTITUTE(SUBSTITUTE(LOWER(pictures.heroes[[#This Row],[Hero]])," ",""),"-","")&amp;".stage2"</f>
        <v>hero.dreaddrake.stage2</v>
      </c>
      <c r="I18" s="128" t="str">
        <f>+"hero."&amp;SUBSTITUTE(SUBSTITUTE(LOWER(pictures.heroes[[#This Row],[Hero]])," ",""),"-","")&amp;".stage0"</f>
        <v>hero.dreaddrake.stage0</v>
      </c>
      <c r="J18" s="128" t="s">
        <v>173</v>
      </c>
      <c r="K18" s="128" t="s">
        <v>174</v>
      </c>
      <c r="L18" s="128" t="s">
        <v>175</v>
      </c>
      <c r="M18" s="126" t="s">
        <v>176</v>
      </c>
      <c r="N18" s="126" t="s">
        <v>177</v>
      </c>
      <c r="O18" s="128">
        <f>+ROW(pictures.skills[[#This Row],[Hero]])</f>
        <v>18</v>
      </c>
      <c r="P18" s="128" t="s">
        <v>168</v>
      </c>
      <c r="Q18" s="128" t="str">
        <f t="shared" si="0"/>
        <v>&lt;definedName name="hero.dreaddrake.stage1"&gt;'pictures-heroes'!$B$18&lt;/definedName&gt;</v>
      </c>
      <c r="R18" s="126" t="str">
        <f t="shared" si="1"/>
        <v>&lt;definedName name="hero.dreaddrake.stage2"&gt;'pictures-heroes'!$C$18&lt;/definedName&gt;</v>
      </c>
      <c r="S18" s="126" t="str">
        <f t="shared" si="2"/>
        <v>&lt;definedName name="hero.dreaddrake.stage0"&gt;'pictures-heroes'!$D$18&lt;/definedName&gt;</v>
      </c>
    </row>
    <row r="19" spans="1:19" ht="51" customHeight="1" x14ac:dyDescent="0.25">
      <c r="A19" s="129" t="s">
        <v>45</v>
      </c>
      <c r="F19" s="128" t="s">
        <v>167</v>
      </c>
      <c r="G19" s="128" t="str">
        <f>+"hero."&amp;SUBSTITUTE(SUBSTITUTE(LOWER(pictures.heroes[[#This Row],[Hero]])," ",""),"-","")&amp;".stage1"</f>
        <v>hero.druid.stage1</v>
      </c>
      <c r="H19" s="128" t="str">
        <f>+"hero."&amp;SUBSTITUTE(SUBSTITUTE(LOWER(pictures.heroes[[#This Row],[Hero]])," ",""),"-","")&amp;".stage2"</f>
        <v>hero.druid.stage2</v>
      </c>
      <c r="I19" s="128" t="str">
        <f>+"hero."&amp;SUBSTITUTE(SUBSTITUTE(LOWER(pictures.heroes[[#This Row],[Hero]])," ",""),"-","")&amp;".stage0"</f>
        <v>hero.druid.stage0</v>
      </c>
      <c r="J19" s="128" t="s">
        <v>173</v>
      </c>
      <c r="K19" s="128" t="s">
        <v>174</v>
      </c>
      <c r="L19" s="128" t="s">
        <v>175</v>
      </c>
      <c r="M19" s="126" t="s">
        <v>176</v>
      </c>
      <c r="N19" s="126" t="s">
        <v>177</v>
      </c>
      <c r="O19" s="128">
        <f>+ROW(pictures.skills[[#This Row],[Hero]])</f>
        <v>19</v>
      </c>
      <c r="P19" s="128" t="s">
        <v>168</v>
      </c>
      <c r="Q19" s="128" t="str">
        <f t="shared" si="0"/>
        <v>&lt;definedName name="hero.druid.stage1"&gt;'pictures-heroes'!$B$19&lt;/definedName&gt;</v>
      </c>
      <c r="R19" s="126" t="str">
        <f t="shared" si="1"/>
        <v>&lt;definedName name="hero.druid.stage2"&gt;'pictures-heroes'!$C$19&lt;/definedName&gt;</v>
      </c>
      <c r="S19" s="126" t="str">
        <f t="shared" si="2"/>
        <v>&lt;definedName name="hero.druid.stage0"&gt;'pictures-heroes'!$D$19&lt;/definedName&gt;</v>
      </c>
    </row>
    <row r="20" spans="1:19" ht="51" customHeight="1" x14ac:dyDescent="0.25">
      <c r="A20" s="129" t="s">
        <v>47</v>
      </c>
      <c r="F20" s="128" t="s">
        <v>167</v>
      </c>
      <c r="G20" s="128" t="str">
        <f>+"hero."&amp;SUBSTITUTE(SUBSTITUTE(LOWER(pictures.heroes[[#This Row],[Hero]])," ",""),"-","")&amp;".stage1"</f>
        <v>hero.dryad.stage1</v>
      </c>
      <c r="H20" s="128" t="str">
        <f>+"hero."&amp;SUBSTITUTE(SUBSTITUTE(LOWER(pictures.heroes[[#This Row],[Hero]])," ",""),"-","")&amp;".stage2"</f>
        <v>hero.dryad.stage2</v>
      </c>
      <c r="I20" s="128" t="str">
        <f>+"hero."&amp;SUBSTITUTE(SUBSTITUTE(LOWER(pictures.heroes[[#This Row],[Hero]])," ",""),"-","")&amp;".stage0"</f>
        <v>hero.dryad.stage0</v>
      </c>
      <c r="J20" s="128" t="s">
        <v>173</v>
      </c>
      <c r="K20" s="128" t="s">
        <v>174</v>
      </c>
      <c r="L20" s="128" t="s">
        <v>175</v>
      </c>
      <c r="M20" s="126" t="s">
        <v>176</v>
      </c>
      <c r="N20" s="126" t="s">
        <v>177</v>
      </c>
      <c r="O20" s="128">
        <f>+ROW(pictures.skills[[#This Row],[Hero]])</f>
        <v>20</v>
      </c>
      <c r="P20" s="128" t="s">
        <v>168</v>
      </c>
      <c r="Q20" s="128" t="str">
        <f t="shared" si="0"/>
        <v>&lt;definedName name="hero.dryad.stage1"&gt;'pictures-heroes'!$B$20&lt;/definedName&gt;</v>
      </c>
      <c r="R20" s="126" t="str">
        <f t="shared" si="1"/>
        <v>&lt;definedName name="hero.dryad.stage2"&gt;'pictures-heroes'!$C$20&lt;/definedName&gt;</v>
      </c>
      <c r="S20" s="126" t="str">
        <f t="shared" si="2"/>
        <v>&lt;definedName name="hero.dryad.stage0"&gt;'pictures-heroes'!$D$20&lt;/definedName&gt;</v>
      </c>
    </row>
    <row r="21" spans="1:19" ht="51" customHeight="1" x14ac:dyDescent="0.25">
      <c r="A21" s="129" t="s">
        <v>49</v>
      </c>
      <c r="F21" s="128" t="s">
        <v>167</v>
      </c>
      <c r="G21" s="128" t="str">
        <f>+"hero."&amp;SUBSTITUTE(SUBSTITUTE(LOWER(pictures.heroes[[#This Row],[Hero]])," ",""),"-","")&amp;".stage1"</f>
        <v>hero.engineer.stage1</v>
      </c>
      <c r="H21" s="128" t="str">
        <f>+"hero."&amp;SUBSTITUTE(SUBSTITUTE(LOWER(pictures.heroes[[#This Row],[Hero]])," ",""),"-","")&amp;".stage2"</f>
        <v>hero.engineer.stage2</v>
      </c>
      <c r="I21" s="128" t="str">
        <f>+"hero."&amp;SUBSTITUTE(SUBSTITUTE(LOWER(pictures.heroes[[#This Row],[Hero]])," ",""),"-","")&amp;".stage0"</f>
        <v>hero.engineer.stage0</v>
      </c>
      <c r="J21" s="128" t="s">
        <v>173</v>
      </c>
      <c r="K21" s="128" t="s">
        <v>174</v>
      </c>
      <c r="L21" s="128" t="s">
        <v>175</v>
      </c>
      <c r="M21" s="126" t="s">
        <v>176</v>
      </c>
      <c r="N21" s="126" t="s">
        <v>177</v>
      </c>
      <c r="O21" s="128">
        <f>+ROW(pictures.skills[[#This Row],[Hero]])</f>
        <v>21</v>
      </c>
      <c r="P21" s="128" t="s">
        <v>168</v>
      </c>
      <c r="Q21" s="128" t="str">
        <f t="shared" si="0"/>
        <v>&lt;definedName name="hero.engineer.stage1"&gt;'pictures-heroes'!$B$21&lt;/definedName&gt;</v>
      </c>
      <c r="R21" s="126" t="str">
        <f t="shared" si="1"/>
        <v>&lt;definedName name="hero.engineer.stage2"&gt;'pictures-heroes'!$C$21&lt;/definedName&gt;</v>
      </c>
      <c r="S21" s="126" t="str">
        <f t="shared" si="2"/>
        <v>&lt;definedName name="hero.engineer.stage0"&gt;'pictures-heroes'!$D$21&lt;/definedName&gt;</v>
      </c>
    </row>
    <row r="22" spans="1:19" ht="51" customHeight="1" x14ac:dyDescent="0.25">
      <c r="A22" s="129" t="s">
        <v>51</v>
      </c>
      <c r="F22" s="128" t="s">
        <v>167</v>
      </c>
      <c r="G22" s="128" t="str">
        <f>+"hero."&amp;SUBSTITUTE(SUBSTITUTE(LOWER(pictures.heroes[[#This Row],[Hero]])," ",""),"-","")&amp;".stage1"</f>
        <v>hero.executioner.stage1</v>
      </c>
      <c r="H22" s="128" t="str">
        <f>+"hero."&amp;SUBSTITUTE(SUBSTITUTE(LOWER(pictures.heroes[[#This Row],[Hero]])," ",""),"-","")&amp;".stage2"</f>
        <v>hero.executioner.stage2</v>
      </c>
      <c r="I22" s="128" t="str">
        <f>+"hero."&amp;SUBSTITUTE(SUBSTITUTE(LOWER(pictures.heroes[[#This Row],[Hero]])," ",""),"-","")&amp;".stage0"</f>
        <v>hero.executioner.stage0</v>
      </c>
      <c r="J22" s="128" t="s">
        <v>173</v>
      </c>
      <c r="K22" s="128" t="s">
        <v>174</v>
      </c>
      <c r="L22" s="128" t="s">
        <v>175</v>
      </c>
      <c r="M22" s="126" t="s">
        <v>176</v>
      </c>
      <c r="N22" s="126" t="s">
        <v>177</v>
      </c>
      <c r="O22" s="128">
        <f>+ROW(pictures.skills[[#This Row],[Hero]])</f>
        <v>22</v>
      </c>
      <c r="P22" s="128" t="s">
        <v>168</v>
      </c>
      <c r="Q22" s="128" t="str">
        <f t="shared" si="0"/>
        <v>&lt;definedName name="hero.executioner.stage1"&gt;'pictures-heroes'!$B$22&lt;/definedName&gt;</v>
      </c>
      <c r="R22" s="126" t="str">
        <f t="shared" si="1"/>
        <v>&lt;definedName name="hero.executioner.stage2"&gt;'pictures-heroes'!$C$22&lt;/definedName&gt;</v>
      </c>
      <c r="S22" s="126" t="str">
        <f t="shared" si="2"/>
        <v>&lt;definedName name="hero.executioner.stage0"&gt;'pictures-heroes'!$D$22&lt;/definedName&gt;</v>
      </c>
    </row>
    <row r="23" spans="1:19" ht="51" customHeight="1" x14ac:dyDescent="0.25">
      <c r="A23" s="129" t="s">
        <v>53</v>
      </c>
      <c r="F23" s="128" t="s">
        <v>167</v>
      </c>
      <c r="G23" s="128" t="str">
        <f>+"hero."&amp;SUBSTITUTE(SUBSTITUTE(LOWER(pictures.heroes[[#This Row],[Hero]])," ",""),"-","")&amp;".stage1"</f>
        <v>hero.frostwitch.stage1</v>
      </c>
      <c r="H23" s="128" t="str">
        <f>+"hero."&amp;SUBSTITUTE(SUBSTITUTE(LOWER(pictures.heroes[[#This Row],[Hero]])," ",""),"-","")&amp;".stage2"</f>
        <v>hero.frostwitch.stage2</v>
      </c>
      <c r="I23" s="128" t="str">
        <f>+"hero."&amp;SUBSTITUTE(SUBSTITUTE(LOWER(pictures.heroes[[#This Row],[Hero]])," ",""),"-","")&amp;".stage0"</f>
        <v>hero.frostwitch.stage0</v>
      </c>
      <c r="J23" s="128" t="s">
        <v>173</v>
      </c>
      <c r="K23" s="128" t="s">
        <v>174</v>
      </c>
      <c r="L23" s="128" t="s">
        <v>175</v>
      </c>
      <c r="M23" s="126" t="s">
        <v>176</v>
      </c>
      <c r="N23" s="126" t="s">
        <v>177</v>
      </c>
      <c r="O23" s="128">
        <f>+ROW(pictures.skills[[#This Row],[Hero]])</f>
        <v>23</v>
      </c>
      <c r="P23" s="128" t="s">
        <v>168</v>
      </c>
      <c r="Q23" s="128" t="str">
        <f t="shared" si="0"/>
        <v>&lt;definedName name="hero.frostwitch.stage1"&gt;'pictures-heroes'!$B$23&lt;/definedName&gt;</v>
      </c>
      <c r="R23" s="126" t="str">
        <f t="shared" si="1"/>
        <v>&lt;definedName name="hero.frostwitch.stage2"&gt;'pictures-heroes'!$C$23&lt;/definedName&gt;</v>
      </c>
      <c r="S23" s="126" t="str">
        <f t="shared" si="2"/>
        <v>&lt;definedName name="hero.frostwitch.stage0"&gt;'pictures-heroes'!$D$23&lt;/definedName&gt;</v>
      </c>
    </row>
    <row r="24" spans="1:19" ht="51" customHeight="1" x14ac:dyDescent="0.25">
      <c r="A24" s="129" t="s">
        <v>55</v>
      </c>
      <c r="F24" s="128" t="s">
        <v>167</v>
      </c>
      <c r="G24" s="128" t="str">
        <f>+"hero."&amp;SUBSTITUTE(SUBSTITUTE(LOWER(pictures.heroes[[#This Row],[Hero]])," ",""),"-","")&amp;".stage1"</f>
        <v>hero.ghoulem.stage1</v>
      </c>
      <c r="H24" s="128" t="str">
        <f>+"hero."&amp;SUBSTITUTE(SUBSTITUTE(LOWER(pictures.heroes[[#This Row],[Hero]])," ",""),"-","")&amp;".stage2"</f>
        <v>hero.ghoulem.stage2</v>
      </c>
      <c r="I24" s="128" t="str">
        <f>+"hero."&amp;SUBSTITUTE(SUBSTITUTE(LOWER(pictures.heroes[[#This Row],[Hero]])," ",""),"-","")&amp;".stage0"</f>
        <v>hero.ghoulem.stage0</v>
      </c>
      <c r="J24" s="128" t="s">
        <v>173</v>
      </c>
      <c r="K24" s="128" t="s">
        <v>174</v>
      </c>
      <c r="L24" s="128" t="s">
        <v>175</v>
      </c>
      <c r="M24" s="126" t="s">
        <v>176</v>
      </c>
      <c r="N24" s="126" t="s">
        <v>177</v>
      </c>
      <c r="O24" s="128">
        <f>+ROW(pictures.skills[[#This Row],[Hero]])</f>
        <v>24</v>
      </c>
      <c r="P24" s="128" t="s">
        <v>168</v>
      </c>
      <c r="Q24" s="128" t="str">
        <f t="shared" si="0"/>
        <v>&lt;definedName name="hero.ghoulem.stage1"&gt;'pictures-heroes'!$B$24&lt;/definedName&gt;</v>
      </c>
      <c r="R24" s="126" t="str">
        <f t="shared" si="1"/>
        <v>&lt;definedName name="hero.ghoulem.stage2"&gt;'pictures-heroes'!$C$24&lt;/definedName&gt;</v>
      </c>
      <c r="S24" s="126" t="str">
        <f t="shared" si="2"/>
        <v>&lt;definedName name="hero.ghoulem.stage0"&gt;'pictures-heroes'!$D$24&lt;/definedName&gt;</v>
      </c>
    </row>
    <row r="25" spans="1:19" ht="51" customHeight="1" x14ac:dyDescent="0.25">
      <c r="A25" s="129" t="s">
        <v>56</v>
      </c>
      <c r="F25" s="128" t="s">
        <v>167</v>
      </c>
      <c r="G25" s="128" t="str">
        <f>+"hero."&amp;SUBSTITUTE(SUBSTITUTE(LOWER(pictures.heroes[[#This Row],[Hero]])," ",""),"-","")&amp;".stage1"</f>
        <v>hero.grimfiend.stage1</v>
      </c>
      <c r="H25" s="128" t="str">
        <f>+"hero."&amp;SUBSTITUTE(SUBSTITUTE(LOWER(pictures.heroes[[#This Row],[Hero]])," ",""),"-","")&amp;".stage2"</f>
        <v>hero.grimfiend.stage2</v>
      </c>
      <c r="I25" s="128" t="str">
        <f>+"hero."&amp;SUBSTITUTE(SUBSTITUTE(LOWER(pictures.heroes[[#This Row],[Hero]])," ",""),"-","")&amp;".stage0"</f>
        <v>hero.grimfiend.stage0</v>
      </c>
      <c r="J25" s="128" t="s">
        <v>173</v>
      </c>
      <c r="K25" s="128" t="s">
        <v>174</v>
      </c>
      <c r="L25" s="128" t="s">
        <v>175</v>
      </c>
      <c r="M25" s="126" t="s">
        <v>176</v>
      </c>
      <c r="N25" s="126" t="s">
        <v>177</v>
      </c>
      <c r="O25" s="128">
        <f>+ROW(pictures.skills[[#This Row],[Hero]])</f>
        <v>25</v>
      </c>
      <c r="P25" s="128" t="s">
        <v>168</v>
      </c>
      <c r="Q25" s="128" t="str">
        <f t="shared" si="0"/>
        <v>&lt;definedName name="hero.grimfiend.stage1"&gt;'pictures-heroes'!$B$25&lt;/definedName&gt;</v>
      </c>
      <c r="R25" s="126" t="str">
        <f t="shared" si="1"/>
        <v>&lt;definedName name="hero.grimfiend.stage2"&gt;'pictures-heroes'!$C$25&lt;/definedName&gt;</v>
      </c>
      <c r="S25" s="126" t="str">
        <f t="shared" si="2"/>
        <v>&lt;definedName name="hero.grimfiend.stage0"&gt;'pictures-heroes'!$D$25&lt;/definedName&gt;</v>
      </c>
    </row>
    <row r="26" spans="1:19" ht="51" customHeight="1" x14ac:dyDescent="0.25">
      <c r="A26" s="129" t="s">
        <v>57</v>
      </c>
      <c r="F26" s="128" t="s">
        <v>167</v>
      </c>
      <c r="G26" s="128" t="str">
        <f>+"hero."&amp;SUBSTITUTE(SUBSTITUTE(LOWER(pictures.heroes[[#This Row],[Hero]])," ",""),"-","")&amp;".stage1"</f>
        <v>hero.grizzlyreaper.stage1</v>
      </c>
      <c r="H26" s="128" t="str">
        <f>+"hero."&amp;SUBSTITUTE(SUBSTITUTE(LOWER(pictures.heroes[[#This Row],[Hero]])," ",""),"-","")&amp;".stage2"</f>
        <v>hero.grizzlyreaper.stage2</v>
      </c>
      <c r="I26" s="128" t="str">
        <f>+"hero."&amp;SUBSTITUTE(SUBSTITUTE(LOWER(pictures.heroes[[#This Row],[Hero]])," ",""),"-","")&amp;".stage0"</f>
        <v>hero.grizzlyreaper.stage0</v>
      </c>
      <c r="J26" s="128" t="s">
        <v>173</v>
      </c>
      <c r="K26" s="128" t="s">
        <v>174</v>
      </c>
      <c r="L26" s="128" t="s">
        <v>175</v>
      </c>
      <c r="M26" s="126" t="s">
        <v>176</v>
      </c>
      <c r="N26" s="126" t="s">
        <v>177</v>
      </c>
      <c r="O26" s="128">
        <f>+ROW(pictures.skills[[#This Row],[Hero]])</f>
        <v>26</v>
      </c>
      <c r="P26" s="128" t="s">
        <v>168</v>
      </c>
      <c r="Q26" s="128" t="str">
        <f t="shared" si="0"/>
        <v>&lt;definedName name="hero.grizzlyreaper.stage1"&gt;'pictures-heroes'!$B$26&lt;/definedName&gt;</v>
      </c>
      <c r="R26" s="126" t="str">
        <f t="shared" si="1"/>
        <v>&lt;definedName name="hero.grizzlyreaper.stage2"&gt;'pictures-heroes'!$C$26&lt;/definedName&gt;</v>
      </c>
      <c r="S26" s="126" t="str">
        <f t="shared" si="2"/>
        <v>&lt;definedName name="hero.grizzlyreaper.stage0"&gt;'pictures-heroes'!$D$26&lt;/definedName&gt;</v>
      </c>
    </row>
    <row r="27" spans="1:19" ht="51" customHeight="1" x14ac:dyDescent="0.25">
      <c r="A27" s="129" t="s">
        <v>58</v>
      </c>
      <c r="F27" s="128" t="s">
        <v>167</v>
      </c>
      <c r="G27" s="128" t="str">
        <f>+"hero."&amp;SUBSTITUTE(SUBSTITUTE(LOWER(pictures.heroes[[#This Row],[Hero]])," ",""),"-","")&amp;".stage1"</f>
        <v>hero.harpyqueen.stage1</v>
      </c>
      <c r="H27" s="128" t="str">
        <f>+"hero."&amp;SUBSTITUTE(SUBSTITUTE(LOWER(pictures.heroes[[#This Row],[Hero]])," ",""),"-","")&amp;".stage2"</f>
        <v>hero.harpyqueen.stage2</v>
      </c>
      <c r="I27" s="128" t="str">
        <f>+"hero."&amp;SUBSTITUTE(SUBSTITUTE(LOWER(pictures.heroes[[#This Row],[Hero]])," ",""),"-","")&amp;".stage0"</f>
        <v>hero.harpyqueen.stage0</v>
      </c>
      <c r="J27" s="128" t="s">
        <v>173</v>
      </c>
      <c r="K27" s="128" t="s">
        <v>174</v>
      </c>
      <c r="L27" s="128" t="s">
        <v>175</v>
      </c>
      <c r="M27" s="126" t="s">
        <v>176</v>
      </c>
      <c r="N27" s="126" t="s">
        <v>177</v>
      </c>
      <c r="O27" s="128">
        <f>+ROW(pictures.skills[[#This Row],[Hero]])</f>
        <v>27</v>
      </c>
      <c r="P27" s="128" t="s">
        <v>168</v>
      </c>
      <c r="Q27" s="128" t="str">
        <f t="shared" si="0"/>
        <v>&lt;definedName name="hero.harpyqueen.stage1"&gt;'pictures-heroes'!$B$27&lt;/definedName&gt;</v>
      </c>
      <c r="R27" s="126" t="str">
        <f t="shared" si="1"/>
        <v>&lt;definedName name="hero.harpyqueen.stage2"&gt;'pictures-heroes'!$C$27&lt;/definedName&gt;</v>
      </c>
      <c r="S27" s="126" t="str">
        <f t="shared" si="2"/>
        <v>&lt;definedName name="hero.harpyqueen.stage0"&gt;'pictures-heroes'!$D$27&lt;/definedName&gt;</v>
      </c>
    </row>
    <row r="28" spans="1:19" ht="51" customHeight="1" x14ac:dyDescent="0.25">
      <c r="A28" s="129" t="s">
        <v>59</v>
      </c>
      <c r="F28" s="128" t="s">
        <v>167</v>
      </c>
      <c r="G28" s="128" t="str">
        <f>+"hero."&amp;SUBSTITUTE(SUBSTITUTE(LOWER(pictures.heroes[[#This Row],[Hero]])," ",""),"-","")&amp;".stage1"</f>
        <v>hero.heartbreaker.stage1</v>
      </c>
      <c r="H28" s="128" t="str">
        <f>+"hero."&amp;SUBSTITUTE(SUBSTITUTE(LOWER(pictures.heroes[[#This Row],[Hero]])," ",""),"-","")&amp;".stage2"</f>
        <v>hero.heartbreaker.stage2</v>
      </c>
      <c r="I28" s="128" t="str">
        <f>+"hero."&amp;SUBSTITUTE(SUBSTITUTE(LOWER(pictures.heroes[[#This Row],[Hero]])," ",""),"-","")&amp;".stage0"</f>
        <v>hero.heartbreaker.stage0</v>
      </c>
      <c r="J28" s="128" t="s">
        <v>173</v>
      </c>
      <c r="K28" s="128" t="s">
        <v>174</v>
      </c>
      <c r="L28" s="128" t="s">
        <v>175</v>
      </c>
      <c r="M28" s="126" t="s">
        <v>176</v>
      </c>
      <c r="N28" s="126" t="s">
        <v>177</v>
      </c>
      <c r="O28" s="128">
        <f>+ROW(pictures.skills[[#This Row],[Hero]])</f>
        <v>28</v>
      </c>
      <c r="P28" s="128" t="s">
        <v>168</v>
      </c>
      <c r="Q28" s="128" t="str">
        <f t="shared" si="0"/>
        <v>&lt;definedName name="hero.heartbreaker.stage1"&gt;'pictures-heroes'!$B$28&lt;/definedName&gt;</v>
      </c>
      <c r="R28" s="126" t="str">
        <f t="shared" si="1"/>
        <v>&lt;definedName name="hero.heartbreaker.stage2"&gt;'pictures-heroes'!$C$28&lt;/definedName&gt;</v>
      </c>
      <c r="S28" s="126" t="str">
        <f t="shared" si="2"/>
        <v>&lt;definedName name="hero.heartbreaker.stage0"&gt;'pictures-heroes'!$D$28&lt;/definedName&gt;</v>
      </c>
    </row>
    <row r="29" spans="1:19" ht="51" customHeight="1" x14ac:dyDescent="0.25">
      <c r="A29" s="129" t="s">
        <v>60</v>
      </c>
      <c r="F29" s="128" t="s">
        <v>167</v>
      </c>
      <c r="G29" s="128" t="str">
        <f>+"hero."&amp;SUBSTITUTE(SUBSTITUTE(LOWER(pictures.heroes[[#This Row],[Hero]])," ",""),"-","")&amp;".stage1"</f>
        <v>hero.hillgiant.stage1</v>
      </c>
      <c r="H29" s="128" t="str">
        <f>+"hero."&amp;SUBSTITUTE(SUBSTITUTE(LOWER(pictures.heroes[[#This Row],[Hero]])," ",""),"-","")&amp;".stage2"</f>
        <v>hero.hillgiant.stage2</v>
      </c>
      <c r="I29" s="128" t="str">
        <f>+"hero."&amp;SUBSTITUTE(SUBSTITUTE(LOWER(pictures.heroes[[#This Row],[Hero]])," ",""),"-","")&amp;".stage0"</f>
        <v>hero.hillgiant.stage0</v>
      </c>
      <c r="J29" s="128" t="s">
        <v>173</v>
      </c>
      <c r="K29" s="128" t="s">
        <v>174</v>
      </c>
      <c r="L29" s="128" t="s">
        <v>175</v>
      </c>
      <c r="M29" s="126" t="s">
        <v>176</v>
      </c>
      <c r="N29" s="126" t="s">
        <v>177</v>
      </c>
      <c r="O29" s="128">
        <f>+ROW(pictures.skills[[#This Row],[Hero]])</f>
        <v>29</v>
      </c>
      <c r="P29" s="128" t="s">
        <v>168</v>
      </c>
      <c r="Q29" s="128" t="str">
        <f t="shared" si="0"/>
        <v>&lt;definedName name="hero.hillgiant.stage1"&gt;'pictures-heroes'!$B$29&lt;/definedName&gt;</v>
      </c>
      <c r="R29" s="126" t="str">
        <f t="shared" si="1"/>
        <v>&lt;definedName name="hero.hillgiant.stage2"&gt;'pictures-heroes'!$C$29&lt;/definedName&gt;</v>
      </c>
      <c r="S29" s="126" t="str">
        <f t="shared" si="2"/>
        <v>&lt;definedName name="hero.hillgiant.stage0"&gt;'pictures-heroes'!$D$29&lt;/definedName&gt;</v>
      </c>
    </row>
    <row r="30" spans="1:19" ht="51" customHeight="1" x14ac:dyDescent="0.25">
      <c r="A30" s="129" t="s">
        <v>61</v>
      </c>
      <c r="F30" s="128" t="s">
        <v>167</v>
      </c>
      <c r="G30" s="128" t="str">
        <f>+"hero."&amp;SUBSTITUTE(SUBSTITUTE(LOWER(pictures.heroes[[#This Row],[Hero]])," ",""),"-","")&amp;".stage1"</f>
        <v>hero.icedemon.stage1</v>
      </c>
      <c r="H30" s="128" t="str">
        <f>+"hero."&amp;SUBSTITUTE(SUBSTITUTE(LOWER(pictures.heroes[[#This Row],[Hero]])," ",""),"-","")&amp;".stage2"</f>
        <v>hero.icedemon.stage2</v>
      </c>
      <c r="I30" s="128" t="str">
        <f>+"hero."&amp;SUBSTITUTE(SUBSTITUTE(LOWER(pictures.heroes[[#This Row],[Hero]])," ",""),"-","")&amp;".stage0"</f>
        <v>hero.icedemon.stage0</v>
      </c>
      <c r="J30" s="128" t="s">
        <v>173</v>
      </c>
      <c r="K30" s="128" t="s">
        <v>174</v>
      </c>
      <c r="L30" s="128" t="s">
        <v>175</v>
      </c>
      <c r="M30" s="126" t="s">
        <v>176</v>
      </c>
      <c r="N30" s="126" t="s">
        <v>177</v>
      </c>
      <c r="O30" s="128">
        <f>+ROW(pictures.skills[[#This Row],[Hero]])</f>
        <v>30</v>
      </c>
      <c r="P30" s="128" t="s">
        <v>168</v>
      </c>
      <c r="Q30" s="128" t="str">
        <f t="shared" si="0"/>
        <v>&lt;definedName name="hero.icedemon.stage1"&gt;'pictures-heroes'!$B$30&lt;/definedName&gt;</v>
      </c>
      <c r="R30" s="126" t="str">
        <f t="shared" si="1"/>
        <v>&lt;definedName name="hero.icedemon.stage2"&gt;'pictures-heroes'!$C$30&lt;/definedName&gt;</v>
      </c>
      <c r="S30" s="126" t="str">
        <f t="shared" si="2"/>
        <v>&lt;definedName name="hero.icedemon.stage0"&gt;'pictures-heroes'!$D$30&lt;/definedName&gt;</v>
      </c>
    </row>
    <row r="31" spans="1:19" ht="51" customHeight="1" x14ac:dyDescent="0.25">
      <c r="A31" s="129" t="s">
        <v>62</v>
      </c>
      <c r="F31" s="128" t="s">
        <v>167</v>
      </c>
      <c r="G31" s="128" t="str">
        <f>+"hero."&amp;SUBSTITUTE(SUBSTITUTE(LOWER(pictures.heroes[[#This Row],[Hero]])," ",""),"-","")&amp;".stage1"</f>
        <v>hero.immortep.stage1</v>
      </c>
      <c r="H31" s="128" t="str">
        <f>+"hero."&amp;SUBSTITUTE(SUBSTITUTE(LOWER(pictures.heroes[[#This Row],[Hero]])," ",""),"-","")&amp;".stage2"</f>
        <v>hero.immortep.stage2</v>
      </c>
      <c r="I31" s="128" t="str">
        <f>+"hero."&amp;SUBSTITUTE(SUBSTITUTE(LOWER(pictures.heroes[[#This Row],[Hero]])," ",""),"-","")&amp;".stage0"</f>
        <v>hero.immortep.stage0</v>
      </c>
      <c r="J31" s="128" t="s">
        <v>173</v>
      </c>
      <c r="K31" s="128" t="s">
        <v>174</v>
      </c>
      <c r="L31" s="128" t="s">
        <v>175</v>
      </c>
      <c r="M31" s="126" t="s">
        <v>176</v>
      </c>
      <c r="N31" s="126" t="s">
        <v>177</v>
      </c>
      <c r="O31" s="128">
        <f>+ROW(pictures.skills[[#This Row],[Hero]])</f>
        <v>31</v>
      </c>
      <c r="P31" s="128" t="s">
        <v>168</v>
      </c>
      <c r="Q31" s="128" t="str">
        <f t="shared" si="0"/>
        <v>&lt;definedName name="hero.immortep.stage1"&gt;'pictures-heroes'!$B$31&lt;/definedName&gt;</v>
      </c>
      <c r="R31" s="126" t="str">
        <f t="shared" si="1"/>
        <v>&lt;definedName name="hero.immortep.stage2"&gt;'pictures-heroes'!$C$31&lt;/definedName&gt;</v>
      </c>
      <c r="S31" s="126" t="str">
        <f t="shared" si="2"/>
        <v>&lt;definedName name="hero.immortep.stage0"&gt;'pictures-heroes'!$D$31&lt;/definedName&gt;</v>
      </c>
    </row>
    <row r="32" spans="1:19" ht="51" customHeight="1" x14ac:dyDescent="0.25">
      <c r="A32" s="129" t="s">
        <v>63</v>
      </c>
      <c r="F32" s="128" t="s">
        <v>167</v>
      </c>
      <c r="G32" s="128" t="str">
        <f>+"hero."&amp;SUBSTITUTE(SUBSTITUTE(LOWER(pictures.heroes[[#This Row],[Hero]])," ",""),"-","")&amp;".stage1"</f>
        <v>hero.ladyleo.stage1</v>
      </c>
      <c r="H32" s="128" t="str">
        <f>+"hero."&amp;SUBSTITUTE(SUBSTITUTE(LOWER(pictures.heroes[[#This Row],[Hero]])," ",""),"-","")&amp;".stage2"</f>
        <v>hero.ladyleo.stage2</v>
      </c>
      <c r="I32" s="128" t="str">
        <f>+"hero."&amp;SUBSTITUTE(SUBSTITUTE(LOWER(pictures.heroes[[#This Row],[Hero]])," ",""),"-","")&amp;".stage0"</f>
        <v>hero.ladyleo.stage0</v>
      </c>
      <c r="J32" s="128" t="s">
        <v>173</v>
      </c>
      <c r="K32" s="128" t="s">
        <v>174</v>
      </c>
      <c r="L32" s="128" t="s">
        <v>175</v>
      </c>
      <c r="M32" s="126" t="s">
        <v>176</v>
      </c>
      <c r="N32" s="126" t="s">
        <v>177</v>
      </c>
      <c r="O32" s="128">
        <f>+ROW(pictures.skills[[#This Row],[Hero]])</f>
        <v>32</v>
      </c>
      <c r="P32" s="128" t="s">
        <v>168</v>
      </c>
      <c r="Q32" s="128" t="str">
        <f t="shared" si="0"/>
        <v>&lt;definedName name="hero.ladyleo.stage1"&gt;'pictures-heroes'!$B$32&lt;/definedName&gt;</v>
      </c>
      <c r="R32" s="126" t="str">
        <f t="shared" si="1"/>
        <v>&lt;definedName name="hero.ladyleo.stage2"&gt;'pictures-heroes'!$C$32&lt;/definedName&gt;</v>
      </c>
      <c r="S32" s="126" t="str">
        <f t="shared" si="2"/>
        <v>&lt;definedName name="hero.ladyleo.stage0"&gt;'pictures-heroes'!$D$32&lt;/definedName&gt;</v>
      </c>
    </row>
    <row r="33" spans="1:19" ht="51" customHeight="1" x14ac:dyDescent="0.25">
      <c r="A33" s="129" t="s">
        <v>64</v>
      </c>
      <c r="F33" s="128" t="s">
        <v>167</v>
      </c>
      <c r="G33" s="128" t="str">
        <f>+"hero."&amp;SUBSTITUTE(SUBSTITUTE(LOWER(pictures.heroes[[#This Row],[Hero]])," ",""),"-","")&amp;".stage1"</f>
        <v>hero.lilnick.stage1</v>
      </c>
      <c r="H33" s="128" t="str">
        <f>+"hero."&amp;SUBSTITUTE(SUBSTITUTE(LOWER(pictures.heroes[[#This Row],[Hero]])," ",""),"-","")&amp;".stage2"</f>
        <v>hero.lilnick.stage2</v>
      </c>
      <c r="I33" s="128" t="str">
        <f>+"hero."&amp;SUBSTITUTE(SUBSTITUTE(LOWER(pictures.heroes[[#This Row],[Hero]])," ",""),"-","")&amp;".stage0"</f>
        <v>hero.lilnick.stage0</v>
      </c>
      <c r="J33" s="128" t="s">
        <v>173</v>
      </c>
      <c r="K33" s="128" t="s">
        <v>174</v>
      </c>
      <c r="L33" s="128" t="s">
        <v>175</v>
      </c>
      <c r="M33" s="126" t="s">
        <v>176</v>
      </c>
      <c r="N33" s="126" t="s">
        <v>177</v>
      </c>
      <c r="O33" s="128">
        <f>+ROW(pictures.skills[[#This Row],[Hero]])</f>
        <v>33</v>
      </c>
      <c r="P33" s="128" t="s">
        <v>168</v>
      </c>
      <c r="Q33" s="128" t="str">
        <f t="shared" si="0"/>
        <v>&lt;definedName name="hero.lilnick.stage1"&gt;'pictures-heroes'!$B$33&lt;/definedName&gt;</v>
      </c>
      <c r="R33" s="126" t="str">
        <f t="shared" si="1"/>
        <v>&lt;definedName name="hero.lilnick.stage2"&gt;'pictures-heroes'!$C$33&lt;/definedName&gt;</v>
      </c>
      <c r="S33" s="126" t="str">
        <f t="shared" si="2"/>
        <v>&lt;definedName name="hero.lilnick.stage0"&gt;'pictures-heroes'!$D$33&lt;/definedName&gt;</v>
      </c>
    </row>
    <row r="34" spans="1:19" ht="51" customHeight="1" x14ac:dyDescent="0.25">
      <c r="A34" s="129" t="s">
        <v>65</v>
      </c>
      <c r="F34" s="128" t="s">
        <v>167</v>
      </c>
      <c r="G34" s="128" t="str">
        <f>+"hero."&amp;SUBSTITUTE(SUBSTITUTE(LOWER(pictures.heroes[[#This Row],[Hero]])," ",""),"-","")&amp;".stage1"</f>
        <v>hero.marauder.stage1</v>
      </c>
      <c r="H34" s="128" t="str">
        <f>+"hero."&amp;SUBSTITUTE(SUBSTITUTE(LOWER(pictures.heroes[[#This Row],[Hero]])," ",""),"-","")&amp;".stage2"</f>
        <v>hero.marauder.stage2</v>
      </c>
      <c r="I34" s="128" t="str">
        <f>+"hero."&amp;SUBSTITUTE(SUBSTITUTE(LOWER(pictures.heroes[[#This Row],[Hero]])," ",""),"-","")&amp;".stage0"</f>
        <v>hero.marauder.stage0</v>
      </c>
      <c r="J34" s="128" t="s">
        <v>173</v>
      </c>
      <c r="K34" s="128" t="s">
        <v>174</v>
      </c>
      <c r="L34" s="128" t="s">
        <v>175</v>
      </c>
      <c r="M34" s="126" t="s">
        <v>176</v>
      </c>
      <c r="N34" s="126" t="s">
        <v>177</v>
      </c>
      <c r="O34" s="128">
        <f>+ROW(pictures.skills[[#This Row],[Hero]])</f>
        <v>34</v>
      </c>
      <c r="P34" s="128" t="s">
        <v>168</v>
      </c>
      <c r="Q34" s="128" t="str">
        <f t="shared" si="0"/>
        <v>&lt;definedName name="hero.marauder.stage1"&gt;'pictures-heroes'!$B$34&lt;/definedName&gt;</v>
      </c>
      <c r="R34" s="126" t="str">
        <f t="shared" si="1"/>
        <v>&lt;definedName name="hero.marauder.stage2"&gt;'pictures-heroes'!$C$34&lt;/definedName&gt;</v>
      </c>
      <c r="S34" s="126" t="str">
        <f t="shared" si="2"/>
        <v>&lt;definedName name="hero.marauder.stage0"&gt;'pictures-heroes'!$D$34&lt;/definedName&gt;</v>
      </c>
    </row>
    <row r="35" spans="1:19" ht="51" customHeight="1" x14ac:dyDescent="0.25">
      <c r="A35" s="129" t="s">
        <v>66</v>
      </c>
      <c r="F35" s="128" t="s">
        <v>167</v>
      </c>
      <c r="G35" s="128" t="str">
        <f>+"hero."&amp;SUBSTITUTE(SUBSTITUTE(LOWER(pictures.heroes[[#This Row],[Hero]])," ",""),"-","")&amp;".stage1"</f>
        <v>hero.marksman.stage1</v>
      </c>
      <c r="H35" s="128" t="str">
        <f>+"hero."&amp;SUBSTITUTE(SUBSTITUTE(LOWER(pictures.heroes[[#This Row],[Hero]])," ",""),"-","")&amp;".stage2"</f>
        <v>hero.marksman.stage2</v>
      </c>
      <c r="I35" s="128" t="str">
        <f>+"hero."&amp;SUBSTITUTE(SUBSTITUTE(LOWER(pictures.heroes[[#This Row],[Hero]])," ",""),"-","")&amp;".stage0"</f>
        <v>hero.marksman.stage0</v>
      </c>
      <c r="J35" s="128" t="s">
        <v>173</v>
      </c>
      <c r="K35" s="128" t="s">
        <v>174</v>
      </c>
      <c r="L35" s="128" t="s">
        <v>175</v>
      </c>
      <c r="M35" s="126" t="s">
        <v>176</v>
      </c>
      <c r="N35" s="126" t="s">
        <v>177</v>
      </c>
      <c r="O35" s="128">
        <f>+ROW(pictures.skills[[#This Row],[Hero]])</f>
        <v>35</v>
      </c>
      <c r="P35" s="128" t="s">
        <v>168</v>
      </c>
      <c r="Q35" s="128" t="str">
        <f t="shared" si="0"/>
        <v>&lt;definedName name="hero.marksman.stage1"&gt;'pictures-heroes'!$B$35&lt;/definedName&gt;</v>
      </c>
      <c r="R35" s="126" t="str">
        <f t="shared" si="1"/>
        <v>&lt;definedName name="hero.marksman.stage2"&gt;'pictures-heroes'!$C$35&lt;/definedName&gt;</v>
      </c>
      <c r="S35" s="126" t="str">
        <f t="shared" si="2"/>
        <v>&lt;definedName name="hero.marksman.stage0"&gt;'pictures-heroes'!$D$35&lt;/definedName&gt;</v>
      </c>
    </row>
    <row r="36" spans="1:19" ht="51" customHeight="1" x14ac:dyDescent="0.25">
      <c r="A36" s="129" t="s">
        <v>67</v>
      </c>
      <c r="F36" s="128" t="s">
        <v>167</v>
      </c>
      <c r="G36" s="128" t="str">
        <f>+"hero."&amp;SUBSTITUTE(SUBSTITUTE(LOWER(pictures.heroes[[#This Row],[Hero]])," ",""),"-","")&amp;".stage1"</f>
        <v>hero.medusa.stage1</v>
      </c>
      <c r="H36" s="128" t="str">
        <f>+"hero."&amp;SUBSTITUTE(SUBSTITUTE(LOWER(pictures.heroes[[#This Row],[Hero]])," ",""),"-","")&amp;".stage2"</f>
        <v>hero.medusa.stage2</v>
      </c>
      <c r="I36" s="128" t="str">
        <f>+"hero."&amp;SUBSTITUTE(SUBSTITUTE(LOWER(pictures.heroes[[#This Row],[Hero]])," ",""),"-","")&amp;".stage0"</f>
        <v>hero.medusa.stage0</v>
      </c>
      <c r="J36" s="128" t="s">
        <v>173</v>
      </c>
      <c r="K36" s="128" t="s">
        <v>174</v>
      </c>
      <c r="L36" s="128" t="s">
        <v>175</v>
      </c>
      <c r="M36" s="126" t="s">
        <v>176</v>
      </c>
      <c r="N36" s="126" t="s">
        <v>177</v>
      </c>
      <c r="O36" s="128">
        <f>+ROW(pictures.skills[[#This Row],[Hero]])</f>
        <v>36</v>
      </c>
      <c r="P36" s="128" t="s">
        <v>168</v>
      </c>
      <c r="Q36" s="128" t="str">
        <f t="shared" si="0"/>
        <v>&lt;definedName name="hero.medusa.stage1"&gt;'pictures-heroes'!$B$36&lt;/definedName&gt;</v>
      </c>
      <c r="R36" s="126" t="str">
        <f t="shared" si="1"/>
        <v>&lt;definedName name="hero.medusa.stage2"&gt;'pictures-heroes'!$C$36&lt;/definedName&gt;</v>
      </c>
      <c r="S36" s="126" t="str">
        <f t="shared" si="2"/>
        <v>&lt;definedName name="hero.medusa.stage0"&gt;'pictures-heroes'!$D$36&lt;/definedName&gt;</v>
      </c>
    </row>
    <row r="37" spans="1:19" ht="51" customHeight="1" x14ac:dyDescent="0.25">
      <c r="A37" s="129" t="s">
        <v>68</v>
      </c>
      <c r="F37" s="128" t="s">
        <v>167</v>
      </c>
      <c r="G37" s="128" t="str">
        <f>+"hero."&amp;SUBSTITUTE(SUBSTITUTE(LOWER(pictures.heroes[[#This Row],[Hero]])," ",""),"-","")&amp;".stage1"</f>
        <v>hero.michael.stage1</v>
      </c>
      <c r="H37" s="128" t="str">
        <f>+"hero."&amp;SUBSTITUTE(SUBSTITUTE(LOWER(pictures.heroes[[#This Row],[Hero]])," ",""),"-","")&amp;".stage2"</f>
        <v>hero.michael.stage2</v>
      </c>
      <c r="I37" s="128" t="str">
        <f>+"hero."&amp;SUBSTITUTE(SUBSTITUTE(LOWER(pictures.heroes[[#This Row],[Hero]])," ",""),"-","")&amp;".stage0"</f>
        <v>hero.michael.stage0</v>
      </c>
      <c r="J37" s="128" t="s">
        <v>173</v>
      </c>
      <c r="K37" s="128" t="s">
        <v>174</v>
      </c>
      <c r="L37" s="128" t="s">
        <v>175</v>
      </c>
      <c r="M37" s="126" t="s">
        <v>176</v>
      </c>
      <c r="N37" s="126" t="s">
        <v>177</v>
      </c>
      <c r="O37" s="128">
        <f>+ROW(pictures.skills[[#This Row],[Hero]])</f>
        <v>37</v>
      </c>
      <c r="P37" s="128" t="s">
        <v>168</v>
      </c>
      <c r="Q37" s="128" t="str">
        <f t="shared" si="0"/>
        <v>&lt;definedName name="hero.michael.stage1"&gt;'pictures-heroes'!$B$37&lt;/definedName&gt;</v>
      </c>
      <c r="R37" s="126" t="str">
        <f t="shared" si="1"/>
        <v>&lt;definedName name="hero.michael.stage2"&gt;'pictures-heroes'!$C$37&lt;/definedName&gt;</v>
      </c>
      <c r="S37" s="126" t="str">
        <f t="shared" si="2"/>
        <v>&lt;definedName name="hero.michael.stage0"&gt;'pictures-heroes'!$D$37&lt;/definedName&gt;</v>
      </c>
    </row>
    <row r="38" spans="1:19" ht="51" customHeight="1" x14ac:dyDescent="0.25">
      <c r="A38" s="129" t="s">
        <v>69</v>
      </c>
      <c r="F38" s="128" t="s">
        <v>167</v>
      </c>
      <c r="G38" s="128" t="str">
        <f>+"hero."&amp;SUBSTITUTE(SUBSTITUTE(LOWER(pictures.heroes[[#This Row],[Hero]])," ",""),"-","")&amp;".stage1"</f>
        <v>hero.minotaurchieftain.stage1</v>
      </c>
      <c r="H38" s="128" t="str">
        <f>+"hero."&amp;SUBSTITUTE(SUBSTITUTE(LOWER(pictures.heroes[[#This Row],[Hero]])," ",""),"-","")&amp;".stage2"</f>
        <v>hero.minotaurchieftain.stage2</v>
      </c>
      <c r="I38" s="128" t="str">
        <f>+"hero."&amp;SUBSTITUTE(SUBSTITUTE(LOWER(pictures.heroes[[#This Row],[Hero]])," ",""),"-","")&amp;".stage0"</f>
        <v>hero.minotaurchieftain.stage0</v>
      </c>
      <c r="J38" s="128" t="s">
        <v>173</v>
      </c>
      <c r="K38" s="128" t="s">
        <v>174</v>
      </c>
      <c r="L38" s="128" t="s">
        <v>175</v>
      </c>
      <c r="M38" s="126" t="s">
        <v>176</v>
      </c>
      <c r="N38" s="126" t="s">
        <v>177</v>
      </c>
      <c r="O38" s="128">
        <f>+ROW(pictures.skills[[#This Row],[Hero]])</f>
        <v>38</v>
      </c>
      <c r="P38" s="128" t="s">
        <v>168</v>
      </c>
      <c r="Q38" s="128" t="str">
        <f t="shared" si="0"/>
        <v>&lt;definedName name="hero.minotaurchieftain.stage1"&gt;'pictures-heroes'!$B$38&lt;/definedName&gt;</v>
      </c>
      <c r="R38" s="126" t="str">
        <f t="shared" si="1"/>
        <v>&lt;definedName name="hero.minotaurchieftain.stage2"&gt;'pictures-heroes'!$C$38&lt;/definedName&gt;</v>
      </c>
      <c r="S38" s="126" t="str">
        <f t="shared" si="2"/>
        <v>&lt;definedName name="hero.minotaurchieftain.stage0"&gt;'pictures-heroes'!$D$38&lt;/definedName&gt;</v>
      </c>
    </row>
    <row r="39" spans="1:19" ht="51" customHeight="1" x14ac:dyDescent="0.25">
      <c r="A39" s="129" t="s">
        <v>70</v>
      </c>
      <c r="F39" s="128" t="s">
        <v>167</v>
      </c>
      <c r="G39" s="128" t="str">
        <f>+"hero."&amp;SUBSTITUTE(SUBSTITUTE(LOWER(pictures.heroes[[#This Row],[Hero]])," ",""),"-","")&amp;".stage1"</f>
        <v>hero.moltanica.stage1</v>
      </c>
      <c r="H39" s="128" t="str">
        <f>+"hero."&amp;SUBSTITUTE(SUBSTITUTE(LOWER(pictures.heroes[[#This Row],[Hero]])," ",""),"-","")&amp;".stage2"</f>
        <v>hero.moltanica.stage2</v>
      </c>
      <c r="I39" s="128" t="str">
        <f>+"hero."&amp;SUBSTITUTE(SUBSTITUTE(LOWER(pictures.heroes[[#This Row],[Hero]])," ",""),"-","")&amp;".stage0"</f>
        <v>hero.moltanica.stage0</v>
      </c>
      <c r="J39" s="128" t="s">
        <v>173</v>
      </c>
      <c r="K39" s="128" t="s">
        <v>174</v>
      </c>
      <c r="L39" s="128" t="s">
        <v>175</v>
      </c>
      <c r="M39" s="126" t="s">
        <v>176</v>
      </c>
      <c r="N39" s="126" t="s">
        <v>177</v>
      </c>
      <c r="O39" s="128">
        <f>+ROW(pictures.skills[[#This Row],[Hero]])</f>
        <v>39</v>
      </c>
      <c r="P39" s="128" t="s">
        <v>168</v>
      </c>
      <c r="Q39" s="128" t="str">
        <f t="shared" si="0"/>
        <v>&lt;definedName name="hero.moltanica.stage1"&gt;'pictures-heroes'!$B$39&lt;/definedName&gt;</v>
      </c>
      <c r="R39" s="126" t="str">
        <f t="shared" si="1"/>
        <v>&lt;definedName name="hero.moltanica.stage2"&gt;'pictures-heroes'!$C$39&lt;/definedName&gt;</v>
      </c>
      <c r="S39" s="126" t="str">
        <f t="shared" si="2"/>
        <v>&lt;definedName name="hero.moltanica.stage0"&gt;'pictures-heroes'!$D$39&lt;/definedName&gt;</v>
      </c>
    </row>
    <row r="40" spans="1:19" ht="51" customHeight="1" x14ac:dyDescent="0.25">
      <c r="A40" s="129" t="s">
        <v>71</v>
      </c>
      <c r="F40" s="128" t="s">
        <v>167</v>
      </c>
      <c r="G40" s="128" t="str">
        <f>+"hero."&amp;SUBSTITUTE(SUBSTITUTE(LOWER(pictures.heroes[[#This Row],[Hero]])," ",""),"-","")&amp;".stage1"</f>
        <v>hero.ninja.stage1</v>
      </c>
      <c r="H40" s="128" t="str">
        <f>+"hero."&amp;SUBSTITUTE(SUBSTITUTE(LOWER(pictures.heroes[[#This Row],[Hero]])," ",""),"-","")&amp;".stage2"</f>
        <v>hero.ninja.stage2</v>
      </c>
      <c r="I40" s="128" t="str">
        <f>+"hero."&amp;SUBSTITUTE(SUBSTITUTE(LOWER(pictures.heroes[[#This Row],[Hero]])," ",""),"-","")&amp;".stage0"</f>
        <v>hero.ninja.stage0</v>
      </c>
      <c r="J40" s="128" t="s">
        <v>173</v>
      </c>
      <c r="K40" s="128" t="s">
        <v>174</v>
      </c>
      <c r="L40" s="128" t="s">
        <v>175</v>
      </c>
      <c r="M40" s="126" t="s">
        <v>176</v>
      </c>
      <c r="N40" s="126" t="s">
        <v>177</v>
      </c>
      <c r="O40" s="128">
        <f>+ROW(pictures.skills[[#This Row],[Hero]])</f>
        <v>40</v>
      </c>
      <c r="P40" s="128" t="s">
        <v>168</v>
      </c>
      <c r="Q40" s="128" t="str">
        <f t="shared" si="0"/>
        <v>&lt;definedName name="hero.ninja.stage1"&gt;'pictures-heroes'!$B$40&lt;/definedName&gt;</v>
      </c>
      <c r="R40" s="126" t="str">
        <f t="shared" si="1"/>
        <v>&lt;definedName name="hero.ninja.stage2"&gt;'pictures-heroes'!$C$40&lt;/definedName&gt;</v>
      </c>
      <c r="S40" s="126" t="str">
        <f t="shared" si="2"/>
        <v>&lt;definedName name="hero.ninja.stage0"&gt;'pictures-heroes'!$D$40&lt;/definedName&gt;</v>
      </c>
    </row>
    <row r="41" spans="1:19" ht="51" customHeight="1" x14ac:dyDescent="0.25">
      <c r="A41" s="129" t="s">
        <v>72</v>
      </c>
      <c r="F41" s="128" t="s">
        <v>167</v>
      </c>
      <c r="G41" s="128" t="str">
        <f>+"hero."&amp;SUBSTITUTE(SUBSTITUTE(LOWER(pictures.heroes[[#This Row],[Hero]])," ",""),"-","")&amp;".stage1"</f>
        <v>hero.orksbane.stage1</v>
      </c>
      <c r="H41" s="128" t="str">
        <f>+"hero."&amp;SUBSTITUTE(SUBSTITUTE(LOWER(pictures.heroes[[#This Row],[Hero]])," ",""),"-","")&amp;".stage2"</f>
        <v>hero.orksbane.stage2</v>
      </c>
      <c r="I41" s="128" t="str">
        <f>+"hero."&amp;SUBSTITUTE(SUBSTITUTE(LOWER(pictures.heroes[[#This Row],[Hero]])," ",""),"-","")&amp;".stage0"</f>
        <v>hero.orksbane.stage0</v>
      </c>
      <c r="J41" s="128" t="s">
        <v>173</v>
      </c>
      <c r="K41" s="128" t="s">
        <v>174</v>
      </c>
      <c r="L41" s="128" t="s">
        <v>175</v>
      </c>
      <c r="M41" s="126" t="s">
        <v>176</v>
      </c>
      <c r="N41" s="126" t="s">
        <v>177</v>
      </c>
      <c r="O41" s="128">
        <f>+ROW(pictures.skills[[#This Row],[Hero]])</f>
        <v>41</v>
      </c>
      <c r="P41" s="128" t="s">
        <v>168</v>
      </c>
      <c r="Q41" s="128" t="str">
        <f t="shared" si="0"/>
        <v>&lt;definedName name="hero.orksbane.stage1"&gt;'pictures-heroes'!$B$41&lt;/definedName&gt;</v>
      </c>
      <c r="R41" s="126" t="str">
        <f t="shared" si="1"/>
        <v>&lt;definedName name="hero.orksbane.stage2"&gt;'pictures-heroes'!$C$41&lt;/definedName&gt;</v>
      </c>
      <c r="S41" s="126" t="str">
        <f t="shared" si="2"/>
        <v>&lt;definedName name="hero.orksbane.stage0"&gt;'pictures-heroes'!$D$41&lt;/definedName&gt;</v>
      </c>
    </row>
    <row r="42" spans="1:19" ht="51" customHeight="1" x14ac:dyDescent="0.25">
      <c r="A42" s="129" t="s">
        <v>73</v>
      </c>
      <c r="F42" s="128" t="s">
        <v>167</v>
      </c>
      <c r="G42" s="128" t="str">
        <f>+"hero."&amp;SUBSTITUTE(SUBSTITUTE(LOWER(pictures.heroes[[#This Row],[Hero]])," ",""),"-","")&amp;".stage1"</f>
        <v>hero.painda.stage1</v>
      </c>
      <c r="H42" s="128" t="str">
        <f>+"hero."&amp;SUBSTITUTE(SUBSTITUTE(LOWER(pictures.heroes[[#This Row],[Hero]])," ",""),"-","")&amp;".stage2"</f>
        <v>hero.painda.stage2</v>
      </c>
      <c r="I42" s="128" t="str">
        <f>+"hero."&amp;SUBSTITUTE(SUBSTITUTE(LOWER(pictures.heroes[[#This Row],[Hero]])," ",""),"-","")&amp;".stage0"</f>
        <v>hero.painda.stage0</v>
      </c>
      <c r="J42" s="128" t="s">
        <v>173</v>
      </c>
      <c r="K42" s="128" t="s">
        <v>174</v>
      </c>
      <c r="L42" s="128" t="s">
        <v>175</v>
      </c>
      <c r="M42" s="126" t="s">
        <v>176</v>
      </c>
      <c r="N42" s="126" t="s">
        <v>177</v>
      </c>
      <c r="O42" s="128">
        <f>+ROW(pictures.skills[[#This Row],[Hero]])</f>
        <v>42</v>
      </c>
      <c r="P42" s="128" t="s">
        <v>168</v>
      </c>
      <c r="Q42" s="128" t="str">
        <f t="shared" si="0"/>
        <v>&lt;definedName name="hero.painda.stage1"&gt;'pictures-heroes'!$B$42&lt;/definedName&gt;</v>
      </c>
      <c r="R42" s="126" t="str">
        <f t="shared" si="1"/>
        <v>&lt;definedName name="hero.painda.stage2"&gt;'pictures-heroes'!$C$42&lt;/definedName&gt;</v>
      </c>
      <c r="S42" s="126" t="str">
        <f t="shared" si="2"/>
        <v>&lt;definedName name="hero.painda.stage0"&gt;'pictures-heroes'!$D$42&lt;/definedName&gt;</v>
      </c>
    </row>
    <row r="43" spans="1:19" ht="51" customHeight="1" x14ac:dyDescent="0.25">
      <c r="A43" s="129" t="s">
        <v>74</v>
      </c>
      <c r="F43" s="128" t="s">
        <v>167</v>
      </c>
      <c r="G43" s="128" t="str">
        <f>+"hero."&amp;SUBSTITUTE(SUBSTITUTE(LOWER(pictures.heroes[[#This Row],[Hero]])," ",""),"-","")&amp;".stage1"</f>
        <v>hero.paladin.stage1</v>
      </c>
      <c r="H43" s="128" t="str">
        <f>+"hero."&amp;SUBSTITUTE(SUBSTITUTE(LOWER(pictures.heroes[[#This Row],[Hero]])," ",""),"-","")&amp;".stage2"</f>
        <v>hero.paladin.stage2</v>
      </c>
      <c r="I43" s="128" t="str">
        <f>+"hero."&amp;SUBSTITUTE(SUBSTITUTE(LOWER(pictures.heroes[[#This Row],[Hero]])," ",""),"-","")&amp;".stage0"</f>
        <v>hero.paladin.stage0</v>
      </c>
      <c r="J43" s="128" t="s">
        <v>173</v>
      </c>
      <c r="K43" s="128" t="s">
        <v>174</v>
      </c>
      <c r="L43" s="128" t="s">
        <v>175</v>
      </c>
      <c r="M43" s="126" t="s">
        <v>176</v>
      </c>
      <c r="N43" s="126" t="s">
        <v>177</v>
      </c>
      <c r="O43" s="128">
        <f>+ROW(pictures.skills[[#This Row],[Hero]])</f>
        <v>43</v>
      </c>
      <c r="P43" s="128" t="s">
        <v>168</v>
      </c>
      <c r="Q43" s="128" t="str">
        <f t="shared" si="0"/>
        <v>&lt;definedName name="hero.paladin.stage1"&gt;'pictures-heroes'!$B$43&lt;/definedName&gt;</v>
      </c>
      <c r="R43" s="126" t="str">
        <f t="shared" si="1"/>
        <v>&lt;definedName name="hero.paladin.stage2"&gt;'pictures-heroes'!$C$43&lt;/definedName&gt;</v>
      </c>
      <c r="S43" s="126" t="str">
        <f t="shared" si="2"/>
        <v>&lt;definedName name="hero.paladin.stage0"&gt;'pictures-heroes'!$D$43&lt;/definedName&gt;</v>
      </c>
    </row>
    <row r="44" spans="1:19" ht="51" customHeight="1" x14ac:dyDescent="0.25">
      <c r="A44" s="129" t="s">
        <v>75</v>
      </c>
      <c r="F44" s="128" t="s">
        <v>167</v>
      </c>
      <c r="G44" s="128" t="str">
        <f>+"hero."&amp;SUBSTITUTE(SUBSTITUTE(LOWER(pictures.heroes[[#This Row],[Hero]])," ",""),"-","")&amp;".stage1"</f>
        <v>hero.phantomking.stage1</v>
      </c>
      <c r="H44" s="128" t="str">
        <f>+"hero."&amp;SUBSTITUTE(SUBSTITUTE(LOWER(pictures.heroes[[#This Row],[Hero]])," ",""),"-","")&amp;".stage2"</f>
        <v>hero.phantomking.stage2</v>
      </c>
      <c r="I44" s="128" t="str">
        <f>+"hero."&amp;SUBSTITUTE(SUBSTITUTE(LOWER(pictures.heroes[[#This Row],[Hero]])," ",""),"-","")&amp;".stage0"</f>
        <v>hero.phantomking.stage0</v>
      </c>
      <c r="J44" s="128" t="s">
        <v>173</v>
      </c>
      <c r="K44" s="128" t="s">
        <v>174</v>
      </c>
      <c r="L44" s="128" t="s">
        <v>175</v>
      </c>
      <c r="M44" s="126" t="s">
        <v>176</v>
      </c>
      <c r="N44" s="126" t="s">
        <v>177</v>
      </c>
      <c r="O44" s="128">
        <f>+ROW(pictures.skills[[#This Row],[Hero]])</f>
        <v>44</v>
      </c>
      <c r="P44" s="128" t="s">
        <v>168</v>
      </c>
      <c r="Q44" s="128" t="str">
        <f t="shared" si="0"/>
        <v>&lt;definedName name="hero.phantomking.stage1"&gt;'pictures-heroes'!$B$44&lt;/definedName&gt;</v>
      </c>
      <c r="R44" s="126" t="str">
        <f t="shared" si="1"/>
        <v>&lt;definedName name="hero.phantomking.stage2"&gt;'pictures-heroes'!$C$44&lt;/definedName&gt;</v>
      </c>
      <c r="S44" s="126" t="str">
        <f t="shared" si="2"/>
        <v>&lt;definedName name="hero.phantomking.stage0"&gt;'pictures-heroes'!$D$44&lt;/definedName&gt;</v>
      </c>
    </row>
    <row r="45" spans="1:19" ht="51" customHeight="1" x14ac:dyDescent="0.25">
      <c r="A45" s="129" t="s">
        <v>76</v>
      </c>
      <c r="F45" s="128" t="s">
        <v>167</v>
      </c>
      <c r="G45" s="128" t="str">
        <f>+"hero."&amp;SUBSTITUTE(SUBSTITUTE(LOWER(pictures.heroes[[#This Row],[Hero]])," ",""),"-","")&amp;".stage1"</f>
        <v>hero.pixie.stage1</v>
      </c>
      <c r="H45" s="128" t="str">
        <f>+"hero."&amp;SUBSTITUTE(SUBSTITUTE(LOWER(pictures.heroes[[#This Row],[Hero]])," ",""),"-","")&amp;".stage2"</f>
        <v>hero.pixie.stage2</v>
      </c>
      <c r="I45" s="128" t="str">
        <f>+"hero."&amp;SUBSTITUTE(SUBSTITUTE(LOWER(pictures.heroes[[#This Row],[Hero]])," ",""),"-","")&amp;".stage0"</f>
        <v>hero.pixie.stage0</v>
      </c>
      <c r="J45" s="128" t="s">
        <v>173</v>
      </c>
      <c r="K45" s="128" t="s">
        <v>174</v>
      </c>
      <c r="L45" s="128" t="s">
        <v>175</v>
      </c>
      <c r="M45" s="126" t="s">
        <v>176</v>
      </c>
      <c r="N45" s="126" t="s">
        <v>177</v>
      </c>
      <c r="O45" s="128">
        <f>+ROW(pictures.skills[[#This Row],[Hero]])</f>
        <v>45</v>
      </c>
      <c r="P45" s="128" t="s">
        <v>168</v>
      </c>
      <c r="Q45" s="128" t="str">
        <f t="shared" si="0"/>
        <v>&lt;definedName name="hero.pixie.stage1"&gt;'pictures-heroes'!$B$45&lt;/definedName&gt;</v>
      </c>
      <c r="R45" s="126" t="str">
        <f t="shared" si="1"/>
        <v>&lt;definedName name="hero.pixie.stage2"&gt;'pictures-heroes'!$C$45&lt;/definedName&gt;</v>
      </c>
      <c r="S45" s="126" t="str">
        <f t="shared" si="2"/>
        <v>&lt;definedName name="hero.pixie.stage0"&gt;'pictures-heroes'!$D$45&lt;/definedName&gt;</v>
      </c>
    </row>
    <row r="46" spans="1:19" ht="51" customHeight="1" x14ac:dyDescent="0.25">
      <c r="A46" s="129" t="s">
        <v>77</v>
      </c>
      <c r="F46" s="128" t="s">
        <v>167</v>
      </c>
      <c r="G46" s="128" t="str">
        <f>+"hero."&amp;SUBSTITUTE(SUBSTITUTE(LOWER(pictures.heroes[[#This Row],[Hero]])," ",""),"-","")&amp;".stage1"</f>
        <v>hero.pumpkinduke.stage1</v>
      </c>
      <c r="H46" s="128" t="str">
        <f>+"hero."&amp;SUBSTITUTE(SUBSTITUTE(LOWER(pictures.heroes[[#This Row],[Hero]])," ",""),"-","")&amp;".stage2"</f>
        <v>hero.pumpkinduke.stage2</v>
      </c>
      <c r="I46" s="128" t="str">
        <f>+"hero."&amp;SUBSTITUTE(SUBSTITUTE(LOWER(pictures.heroes[[#This Row],[Hero]])," ",""),"-","")&amp;".stage0"</f>
        <v>hero.pumpkinduke.stage0</v>
      </c>
      <c r="J46" s="128" t="s">
        <v>173</v>
      </c>
      <c r="K46" s="128" t="s">
        <v>174</v>
      </c>
      <c r="L46" s="128" t="s">
        <v>175</v>
      </c>
      <c r="M46" s="126" t="s">
        <v>176</v>
      </c>
      <c r="N46" s="126" t="s">
        <v>177</v>
      </c>
      <c r="O46" s="128">
        <f>+ROW(pictures.skills[[#This Row],[Hero]])</f>
        <v>46</v>
      </c>
      <c r="P46" s="128" t="s">
        <v>168</v>
      </c>
      <c r="Q46" s="128" t="str">
        <f t="shared" si="0"/>
        <v>&lt;definedName name="hero.pumpkinduke.stage1"&gt;'pictures-heroes'!$B$46&lt;/definedName&gt;</v>
      </c>
      <c r="R46" s="126" t="str">
        <f t="shared" si="1"/>
        <v>&lt;definedName name="hero.pumpkinduke.stage2"&gt;'pictures-heroes'!$C$46&lt;/definedName&gt;</v>
      </c>
      <c r="S46" s="126" t="str">
        <f t="shared" si="2"/>
        <v>&lt;definedName name="hero.pumpkinduke.stage0"&gt;'pictures-heroes'!$D$46&lt;/definedName&gt;</v>
      </c>
    </row>
    <row r="47" spans="1:19" ht="51" customHeight="1" x14ac:dyDescent="0.25">
      <c r="A47" s="129" t="s">
        <v>78</v>
      </c>
      <c r="F47" s="128" t="s">
        <v>167</v>
      </c>
      <c r="G47" s="128" t="str">
        <f>+"hero."&amp;SUBSTITUTE(SUBSTITUTE(LOWER(pictures.heroes[[#This Row],[Hero]])," ",""),"-","")&amp;".stage1"</f>
        <v>hero.revenant.stage1</v>
      </c>
      <c r="H47" s="128" t="str">
        <f>+"hero."&amp;SUBSTITUTE(SUBSTITUTE(LOWER(pictures.heroes[[#This Row],[Hero]])," ",""),"-","")&amp;".stage2"</f>
        <v>hero.revenant.stage2</v>
      </c>
      <c r="I47" s="128" t="str">
        <f>+"hero."&amp;SUBSTITUTE(SUBSTITUTE(LOWER(pictures.heroes[[#This Row],[Hero]])," ",""),"-","")&amp;".stage0"</f>
        <v>hero.revenant.stage0</v>
      </c>
      <c r="J47" s="128" t="s">
        <v>173</v>
      </c>
      <c r="K47" s="128" t="s">
        <v>174</v>
      </c>
      <c r="L47" s="128" t="s">
        <v>175</v>
      </c>
      <c r="M47" s="126" t="s">
        <v>176</v>
      </c>
      <c r="N47" s="126" t="s">
        <v>177</v>
      </c>
      <c r="O47" s="128">
        <f>+ROW(pictures.skills[[#This Row],[Hero]])</f>
        <v>47</v>
      </c>
      <c r="P47" s="128" t="s">
        <v>168</v>
      </c>
      <c r="Q47" s="128" t="str">
        <f t="shared" si="0"/>
        <v>&lt;definedName name="hero.revenant.stage1"&gt;'pictures-heroes'!$B$47&lt;/definedName&gt;</v>
      </c>
      <c r="R47" s="126" t="str">
        <f t="shared" si="1"/>
        <v>&lt;definedName name="hero.revenant.stage2"&gt;'pictures-heroes'!$C$47&lt;/definedName&gt;</v>
      </c>
      <c r="S47" s="126" t="str">
        <f t="shared" si="2"/>
        <v>&lt;definedName name="hero.revenant.stage0"&gt;'pictures-heroes'!$D$47&lt;/definedName&gt;</v>
      </c>
    </row>
    <row r="48" spans="1:19" ht="51" customHeight="1" x14ac:dyDescent="0.25">
      <c r="A48" s="129" t="s">
        <v>79</v>
      </c>
      <c r="F48" s="128" t="s">
        <v>167</v>
      </c>
      <c r="G48" s="128" t="str">
        <f>+"hero."&amp;SUBSTITUTE(SUBSTITUTE(LOWER(pictures.heroes[[#This Row],[Hero]])," ",""),"-","")&amp;".stage1"</f>
        <v>hero.santaboom.stage1</v>
      </c>
      <c r="H48" s="128" t="str">
        <f>+"hero."&amp;SUBSTITUTE(SUBSTITUTE(LOWER(pictures.heroes[[#This Row],[Hero]])," ",""),"-","")&amp;".stage2"</f>
        <v>hero.santaboom.stage2</v>
      </c>
      <c r="I48" s="128" t="str">
        <f>+"hero."&amp;SUBSTITUTE(SUBSTITUTE(LOWER(pictures.heroes[[#This Row],[Hero]])," ",""),"-","")&amp;".stage0"</f>
        <v>hero.santaboom.stage0</v>
      </c>
      <c r="J48" s="128" t="s">
        <v>173</v>
      </c>
      <c r="K48" s="128" t="s">
        <v>174</v>
      </c>
      <c r="L48" s="128" t="s">
        <v>175</v>
      </c>
      <c r="M48" s="126" t="s">
        <v>176</v>
      </c>
      <c r="N48" s="126" t="s">
        <v>177</v>
      </c>
      <c r="O48" s="128">
        <f>+ROW(pictures.skills[[#This Row],[Hero]])</f>
        <v>48</v>
      </c>
      <c r="P48" s="128" t="s">
        <v>168</v>
      </c>
      <c r="Q48" s="128" t="str">
        <f t="shared" si="0"/>
        <v>&lt;definedName name="hero.santaboom.stage1"&gt;'pictures-heroes'!$B$48&lt;/definedName&gt;</v>
      </c>
      <c r="R48" s="126" t="str">
        <f t="shared" si="1"/>
        <v>&lt;definedName name="hero.santaboom.stage2"&gt;'pictures-heroes'!$C$48&lt;/definedName&gt;</v>
      </c>
      <c r="S48" s="126" t="str">
        <f t="shared" si="2"/>
        <v>&lt;definedName name="hero.santaboom.stage0"&gt;'pictures-heroes'!$D$48&lt;/definedName&gt;</v>
      </c>
    </row>
    <row r="49" spans="1:19" ht="51" customHeight="1" x14ac:dyDescent="0.25">
      <c r="A49" s="129" t="s">
        <v>80</v>
      </c>
      <c r="F49" s="128" t="s">
        <v>167</v>
      </c>
      <c r="G49" s="128" t="str">
        <f>+"hero."&amp;SUBSTITUTE(SUBSTITUTE(LOWER(pictures.heroes[[#This Row],[Hero]])," ",""),"-","")&amp;".stage1"</f>
        <v>hero.serpentqueen.stage1</v>
      </c>
      <c r="H49" s="128" t="str">
        <f>+"hero."&amp;SUBSTITUTE(SUBSTITUTE(LOWER(pictures.heroes[[#This Row],[Hero]])," ",""),"-","")&amp;".stage2"</f>
        <v>hero.serpentqueen.stage2</v>
      </c>
      <c r="I49" s="128" t="str">
        <f>+"hero."&amp;SUBSTITUTE(SUBSTITUTE(LOWER(pictures.heroes[[#This Row],[Hero]])," ",""),"-","")&amp;".stage0"</f>
        <v>hero.serpentqueen.stage0</v>
      </c>
      <c r="J49" s="128" t="s">
        <v>173</v>
      </c>
      <c r="K49" s="128" t="s">
        <v>174</v>
      </c>
      <c r="L49" s="128" t="s">
        <v>175</v>
      </c>
      <c r="M49" s="126" t="s">
        <v>176</v>
      </c>
      <c r="N49" s="126" t="s">
        <v>177</v>
      </c>
      <c r="O49" s="128">
        <f>+ROW(pictures.skills[[#This Row],[Hero]])</f>
        <v>49</v>
      </c>
      <c r="P49" s="128" t="s">
        <v>168</v>
      </c>
      <c r="Q49" s="128" t="str">
        <f t="shared" si="0"/>
        <v>&lt;definedName name="hero.serpentqueen.stage1"&gt;'pictures-heroes'!$B$49&lt;/definedName&gt;</v>
      </c>
      <c r="R49" s="126" t="str">
        <f t="shared" si="1"/>
        <v>&lt;definedName name="hero.serpentqueen.stage2"&gt;'pictures-heroes'!$C$49&lt;/definedName&gt;</v>
      </c>
      <c r="S49" s="126" t="str">
        <f t="shared" si="2"/>
        <v>&lt;definedName name="hero.serpentqueen.stage0"&gt;'pictures-heroes'!$D$49&lt;/definedName&gt;</v>
      </c>
    </row>
    <row r="50" spans="1:19" ht="51" customHeight="1" x14ac:dyDescent="0.25">
      <c r="A50" s="129" t="s">
        <v>81</v>
      </c>
      <c r="F50" s="128" t="s">
        <v>167</v>
      </c>
      <c r="G50" s="128" t="str">
        <f>+"hero."&amp;SUBSTITUTE(SUBSTITUTE(LOWER(pictures.heroes[[#This Row],[Hero]])," ",""),"-","")&amp;".stage1"</f>
        <v>hero.shaman.stage1</v>
      </c>
      <c r="H50" s="128" t="str">
        <f>+"hero."&amp;SUBSTITUTE(SUBSTITUTE(LOWER(pictures.heroes[[#This Row],[Hero]])," ",""),"-","")&amp;".stage2"</f>
        <v>hero.shaman.stage2</v>
      </c>
      <c r="I50" s="128" t="str">
        <f>+"hero."&amp;SUBSTITUTE(SUBSTITUTE(LOWER(pictures.heroes[[#This Row],[Hero]])," ",""),"-","")&amp;".stage0"</f>
        <v>hero.shaman.stage0</v>
      </c>
      <c r="J50" s="128" t="s">
        <v>173</v>
      </c>
      <c r="K50" s="128" t="s">
        <v>174</v>
      </c>
      <c r="L50" s="128" t="s">
        <v>175</v>
      </c>
      <c r="M50" s="126" t="s">
        <v>176</v>
      </c>
      <c r="N50" s="126" t="s">
        <v>177</v>
      </c>
      <c r="O50" s="128">
        <f>+ROW(pictures.skills[[#This Row],[Hero]])</f>
        <v>50</v>
      </c>
      <c r="P50" s="128" t="s">
        <v>168</v>
      </c>
      <c r="Q50" s="128" t="str">
        <f t="shared" si="0"/>
        <v>&lt;definedName name="hero.shaman.stage1"&gt;'pictures-heroes'!$B$50&lt;/definedName&gt;</v>
      </c>
      <c r="R50" s="126" t="str">
        <f t="shared" si="1"/>
        <v>&lt;definedName name="hero.shaman.stage2"&gt;'pictures-heroes'!$C$50&lt;/definedName&gt;</v>
      </c>
      <c r="S50" s="126" t="str">
        <f t="shared" si="2"/>
        <v>&lt;definedName name="hero.shaman.stage0"&gt;'pictures-heroes'!$D$50&lt;/definedName&gt;</v>
      </c>
    </row>
    <row r="51" spans="1:19" ht="51" customHeight="1" x14ac:dyDescent="0.25">
      <c r="A51" s="129" t="s">
        <v>82</v>
      </c>
      <c r="F51" s="128" t="s">
        <v>167</v>
      </c>
      <c r="G51" s="128" t="str">
        <f>+"hero."&amp;SUBSTITUTE(SUBSTITUTE(LOWER(pictures.heroes[[#This Row],[Hero]])," ",""),"-","")&amp;".stage1"</f>
        <v>hero.siren.stage1</v>
      </c>
      <c r="H51" s="128" t="str">
        <f>+"hero."&amp;SUBSTITUTE(SUBSTITUTE(LOWER(pictures.heroes[[#This Row],[Hero]])," ",""),"-","")&amp;".stage2"</f>
        <v>hero.siren.stage2</v>
      </c>
      <c r="I51" s="128" t="str">
        <f>+"hero."&amp;SUBSTITUTE(SUBSTITUTE(LOWER(pictures.heroes[[#This Row],[Hero]])," ",""),"-","")&amp;".stage0"</f>
        <v>hero.siren.stage0</v>
      </c>
      <c r="J51" s="128" t="s">
        <v>173</v>
      </c>
      <c r="K51" s="128" t="s">
        <v>174</v>
      </c>
      <c r="L51" s="128" t="s">
        <v>175</v>
      </c>
      <c r="M51" s="126" t="s">
        <v>176</v>
      </c>
      <c r="N51" s="126" t="s">
        <v>177</v>
      </c>
      <c r="O51" s="128">
        <f>+ROW(pictures.skills[[#This Row],[Hero]])</f>
        <v>51</v>
      </c>
      <c r="P51" s="128" t="s">
        <v>168</v>
      </c>
      <c r="Q51" s="128" t="str">
        <f t="shared" si="0"/>
        <v>&lt;definedName name="hero.siren.stage1"&gt;'pictures-heroes'!$B$51&lt;/definedName&gt;</v>
      </c>
      <c r="R51" s="126" t="str">
        <f t="shared" si="1"/>
        <v>&lt;definedName name="hero.siren.stage2"&gt;'pictures-heroes'!$C$51&lt;/definedName&gt;</v>
      </c>
      <c r="S51" s="126" t="str">
        <f t="shared" si="2"/>
        <v>&lt;definedName name="hero.siren.stage0"&gt;'pictures-heroes'!$D$51&lt;/definedName&gt;</v>
      </c>
    </row>
    <row r="52" spans="1:19" ht="51" customHeight="1" x14ac:dyDescent="0.25">
      <c r="A52" s="129" t="s">
        <v>83</v>
      </c>
      <c r="F52" s="128" t="s">
        <v>167</v>
      </c>
      <c r="G52" s="128" t="str">
        <f>+"hero."&amp;SUBSTITUTE(SUBSTITUTE(LOWER(pictures.heroes[[#This Row],[Hero]])," ",""),"-","")&amp;".stage1"</f>
        <v>hero.skullknight.stage1</v>
      </c>
      <c r="H52" s="128" t="str">
        <f>+"hero."&amp;SUBSTITUTE(SUBSTITUTE(LOWER(pictures.heroes[[#This Row],[Hero]])," ",""),"-","")&amp;".stage2"</f>
        <v>hero.skullknight.stage2</v>
      </c>
      <c r="I52" s="128" t="str">
        <f>+"hero."&amp;SUBSTITUTE(SUBSTITUTE(LOWER(pictures.heroes[[#This Row],[Hero]])," ",""),"-","")&amp;".stage0"</f>
        <v>hero.skullknight.stage0</v>
      </c>
      <c r="J52" s="128" t="s">
        <v>173</v>
      </c>
      <c r="K52" s="128" t="s">
        <v>174</v>
      </c>
      <c r="L52" s="128" t="s">
        <v>175</v>
      </c>
      <c r="M52" s="126" t="s">
        <v>176</v>
      </c>
      <c r="N52" s="126" t="s">
        <v>177</v>
      </c>
      <c r="O52" s="128">
        <f>+ROW(pictures.skills[[#This Row],[Hero]])</f>
        <v>52</v>
      </c>
      <c r="P52" s="128" t="s">
        <v>168</v>
      </c>
      <c r="Q52" s="128" t="str">
        <f t="shared" si="0"/>
        <v>&lt;definedName name="hero.skullknight.stage1"&gt;'pictures-heroes'!$B$52&lt;/definedName&gt;</v>
      </c>
      <c r="R52" s="126" t="str">
        <f t="shared" si="1"/>
        <v>&lt;definedName name="hero.skullknight.stage2"&gt;'pictures-heroes'!$C$52&lt;/definedName&gt;</v>
      </c>
      <c r="S52" s="126" t="str">
        <f t="shared" si="2"/>
        <v>&lt;definedName name="hero.skullknight.stage0"&gt;'pictures-heroes'!$D$52&lt;/definedName&gt;</v>
      </c>
    </row>
    <row r="53" spans="1:19" ht="51" customHeight="1" x14ac:dyDescent="0.25">
      <c r="A53" s="129" t="s">
        <v>84</v>
      </c>
      <c r="F53" s="128" t="s">
        <v>167</v>
      </c>
      <c r="G53" s="128" t="str">
        <f>+"hero."&amp;SUBSTITUTE(SUBSTITUTE(LOWER(pictures.heroes[[#This Row],[Hero]])," ",""),"-","")&amp;".stage1"</f>
        <v>hero.snowzilla.stage1</v>
      </c>
      <c r="H53" s="128" t="str">
        <f>+"hero."&amp;SUBSTITUTE(SUBSTITUTE(LOWER(pictures.heroes[[#This Row],[Hero]])," ",""),"-","")&amp;".stage2"</f>
        <v>hero.snowzilla.stage2</v>
      </c>
      <c r="I53" s="128" t="str">
        <f>+"hero."&amp;SUBSTITUTE(SUBSTITUTE(LOWER(pictures.heroes[[#This Row],[Hero]])," ",""),"-","")&amp;".stage0"</f>
        <v>hero.snowzilla.stage0</v>
      </c>
      <c r="J53" s="128" t="s">
        <v>173</v>
      </c>
      <c r="K53" s="128" t="s">
        <v>174</v>
      </c>
      <c r="L53" s="128" t="s">
        <v>175</v>
      </c>
      <c r="M53" s="126" t="s">
        <v>176</v>
      </c>
      <c r="N53" s="126" t="s">
        <v>177</v>
      </c>
      <c r="O53" s="128">
        <f>+ROW(pictures.skills[[#This Row],[Hero]])</f>
        <v>53</v>
      </c>
      <c r="P53" s="128" t="s">
        <v>168</v>
      </c>
      <c r="Q53" s="128" t="str">
        <f t="shared" si="0"/>
        <v>&lt;definedName name="hero.snowzilla.stage1"&gt;'pictures-heroes'!$B$53&lt;/definedName&gt;</v>
      </c>
      <c r="R53" s="126" t="str">
        <f t="shared" si="1"/>
        <v>&lt;definedName name="hero.snowzilla.stage2"&gt;'pictures-heroes'!$C$53&lt;/definedName&gt;</v>
      </c>
      <c r="S53" s="126" t="str">
        <f t="shared" si="2"/>
        <v>&lt;definedName name="hero.snowzilla.stage0"&gt;'pictures-heroes'!$D$53&lt;/definedName&gt;</v>
      </c>
    </row>
    <row r="54" spans="1:19" ht="51" customHeight="1" x14ac:dyDescent="0.25">
      <c r="A54" s="129" t="s">
        <v>85</v>
      </c>
      <c r="F54" s="128" t="s">
        <v>167</v>
      </c>
      <c r="G54" s="128" t="str">
        <f>+"hero."&amp;SUBSTITUTE(SUBSTITUTE(LOWER(pictures.heroes[[#This Row],[Hero]])," ",""),"-","")&amp;".stage1"</f>
        <v>hero.spiritmage.stage1</v>
      </c>
      <c r="H54" s="128" t="str">
        <f>+"hero."&amp;SUBSTITUTE(SUBSTITUTE(LOWER(pictures.heroes[[#This Row],[Hero]])," ",""),"-","")&amp;".stage2"</f>
        <v>hero.spiritmage.stage2</v>
      </c>
      <c r="I54" s="128" t="str">
        <f>+"hero."&amp;SUBSTITUTE(SUBSTITUTE(LOWER(pictures.heroes[[#This Row],[Hero]])," ",""),"-","")&amp;".stage0"</f>
        <v>hero.spiritmage.stage0</v>
      </c>
      <c r="J54" s="128" t="s">
        <v>173</v>
      </c>
      <c r="K54" s="128" t="s">
        <v>174</v>
      </c>
      <c r="L54" s="128" t="s">
        <v>175</v>
      </c>
      <c r="M54" s="126" t="s">
        <v>176</v>
      </c>
      <c r="N54" s="126" t="s">
        <v>177</v>
      </c>
      <c r="O54" s="128">
        <f>+ROW(pictures.skills[[#This Row],[Hero]])</f>
        <v>54</v>
      </c>
      <c r="P54" s="128" t="s">
        <v>168</v>
      </c>
      <c r="Q54" s="128" t="str">
        <f t="shared" si="0"/>
        <v>&lt;definedName name="hero.spiritmage.stage1"&gt;'pictures-heroes'!$B$54&lt;/definedName&gt;</v>
      </c>
      <c r="R54" s="126" t="str">
        <f t="shared" si="1"/>
        <v>&lt;definedName name="hero.spiritmage.stage2"&gt;'pictures-heroes'!$C$54&lt;/definedName&gt;</v>
      </c>
      <c r="S54" s="126" t="str">
        <f t="shared" si="2"/>
        <v>&lt;definedName name="hero.spiritmage.stage0"&gt;'pictures-heroes'!$D$54&lt;/definedName&gt;</v>
      </c>
    </row>
    <row r="55" spans="1:19" ht="51" customHeight="1" x14ac:dyDescent="0.25">
      <c r="A55" s="129" t="s">
        <v>86</v>
      </c>
      <c r="F55" s="128" t="s">
        <v>167</v>
      </c>
      <c r="G55" s="128" t="str">
        <f>+"hero."&amp;SUBSTITUTE(SUBSTITUTE(LOWER(pictures.heroes[[#This Row],[Hero]])," ",""),"-","")&amp;".stage1"</f>
        <v>hero.succubus.stage1</v>
      </c>
      <c r="H55" s="128" t="str">
        <f>+"hero."&amp;SUBSTITUTE(SUBSTITUTE(LOWER(pictures.heroes[[#This Row],[Hero]])," ",""),"-","")&amp;".stage2"</f>
        <v>hero.succubus.stage2</v>
      </c>
      <c r="I55" s="128" t="str">
        <f>+"hero."&amp;SUBSTITUTE(SUBSTITUTE(LOWER(pictures.heroes[[#This Row],[Hero]])," ",""),"-","")&amp;".stage0"</f>
        <v>hero.succubus.stage0</v>
      </c>
      <c r="J55" s="128" t="s">
        <v>173</v>
      </c>
      <c r="K55" s="128" t="s">
        <v>174</v>
      </c>
      <c r="L55" s="128" t="s">
        <v>175</v>
      </c>
      <c r="M55" s="126" t="s">
        <v>176</v>
      </c>
      <c r="N55" s="126" t="s">
        <v>177</v>
      </c>
      <c r="O55" s="128">
        <f>+ROW(pictures.skills[[#This Row],[Hero]])</f>
        <v>55</v>
      </c>
      <c r="P55" s="128" t="s">
        <v>168</v>
      </c>
      <c r="Q55" s="128" t="str">
        <f t="shared" si="0"/>
        <v>&lt;definedName name="hero.succubus.stage1"&gt;'pictures-heroes'!$B$55&lt;/definedName&gt;</v>
      </c>
      <c r="R55" s="126" t="str">
        <f t="shared" si="1"/>
        <v>&lt;definedName name="hero.succubus.stage2"&gt;'pictures-heroes'!$C$55&lt;/definedName&gt;</v>
      </c>
      <c r="S55" s="126" t="str">
        <f t="shared" si="2"/>
        <v>&lt;definedName name="hero.succubus.stage0"&gt;'pictures-heroes'!$D$55&lt;/definedName&gt;</v>
      </c>
    </row>
    <row r="56" spans="1:19" ht="51" customHeight="1" x14ac:dyDescent="0.25">
      <c r="A56" s="129" t="s">
        <v>87</v>
      </c>
      <c r="F56" s="128" t="s">
        <v>167</v>
      </c>
      <c r="G56" s="128" t="str">
        <f>+"hero."&amp;SUBSTITUTE(SUBSTITUTE(LOWER(pictures.heroes[[#This Row],[Hero]])," ",""),"-","")&amp;".stage1"</f>
        <v>hero.thundergod.stage1</v>
      </c>
      <c r="H56" s="128" t="str">
        <f>+"hero."&amp;SUBSTITUTE(SUBSTITUTE(LOWER(pictures.heroes[[#This Row],[Hero]])," ",""),"-","")&amp;".stage2"</f>
        <v>hero.thundergod.stage2</v>
      </c>
      <c r="I56" s="128" t="str">
        <f>+"hero."&amp;SUBSTITUTE(SUBSTITUTE(LOWER(pictures.heroes[[#This Row],[Hero]])," ",""),"-","")&amp;".stage0"</f>
        <v>hero.thundergod.stage0</v>
      </c>
      <c r="J56" s="128" t="s">
        <v>173</v>
      </c>
      <c r="K56" s="128" t="s">
        <v>174</v>
      </c>
      <c r="L56" s="128" t="s">
        <v>175</v>
      </c>
      <c r="M56" s="126" t="s">
        <v>176</v>
      </c>
      <c r="N56" s="126" t="s">
        <v>177</v>
      </c>
      <c r="O56" s="128">
        <f>+ROW(pictures.skills[[#This Row],[Hero]])</f>
        <v>56</v>
      </c>
      <c r="P56" s="128" t="s">
        <v>168</v>
      </c>
      <c r="Q56" s="128" t="str">
        <f t="shared" si="0"/>
        <v>&lt;definedName name="hero.thundergod.stage1"&gt;'pictures-heroes'!$B$56&lt;/definedName&gt;</v>
      </c>
      <c r="R56" s="126" t="str">
        <f t="shared" si="1"/>
        <v>&lt;definedName name="hero.thundergod.stage2"&gt;'pictures-heroes'!$C$56&lt;/definedName&gt;</v>
      </c>
      <c r="S56" s="126" t="str">
        <f t="shared" si="2"/>
        <v>&lt;definedName name="hero.thundergod.stage0"&gt;'pictures-heroes'!$D$56&lt;/definedName&gt;</v>
      </c>
    </row>
    <row r="57" spans="1:19" ht="51" customHeight="1" x14ac:dyDescent="0.25">
      <c r="A57" s="129" t="s">
        <v>88</v>
      </c>
      <c r="F57" s="128" t="s">
        <v>167</v>
      </c>
      <c r="G57" s="128" t="str">
        <f>+"hero."&amp;SUBSTITUTE(SUBSTITUTE(LOWER(pictures.heroes[[#This Row],[Hero]])," ",""),"-","")&amp;".stage1"</f>
        <v>hero.treantaur.stage1</v>
      </c>
      <c r="H57" s="128" t="str">
        <f>+"hero."&amp;SUBSTITUTE(SUBSTITUTE(LOWER(pictures.heroes[[#This Row],[Hero]])," ",""),"-","")&amp;".stage2"</f>
        <v>hero.treantaur.stage2</v>
      </c>
      <c r="I57" s="128" t="str">
        <f>+"hero."&amp;SUBSTITUTE(SUBSTITUTE(LOWER(pictures.heroes[[#This Row],[Hero]])," ",""),"-","")&amp;".stage0"</f>
        <v>hero.treantaur.stage0</v>
      </c>
      <c r="J57" s="128" t="s">
        <v>173</v>
      </c>
      <c r="K57" s="128" t="s">
        <v>174</v>
      </c>
      <c r="L57" s="128" t="s">
        <v>175</v>
      </c>
      <c r="M57" s="126" t="s">
        <v>176</v>
      </c>
      <c r="N57" s="126" t="s">
        <v>177</v>
      </c>
      <c r="O57" s="128">
        <f>+ROW(pictures.skills[[#This Row],[Hero]])</f>
        <v>57</v>
      </c>
      <c r="P57" s="128" t="s">
        <v>168</v>
      </c>
      <c r="Q57" s="128" t="str">
        <f t="shared" si="0"/>
        <v>&lt;definedName name="hero.treantaur.stage1"&gt;'pictures-heroes'!$B$57&lt;/definedName&gt;</v>
      </c>
      <c r="R57" s="126" t="str">
        <f t="shared" si="1"/>
        <v>&lt;definedName name="hero.treantaur.stage2"&gt;'pictures-heroes'!$C$57&lt;/definedName&gt;</v>
      </c>
      <c r="S57" s="126" t="str">
        <f t="shared" si="2"/>
        <v>&lt;definedName name="hero.treantaur.stage0"&gt;'pictures-heroes'!$D$57&lt;/definedName&gt;</v>
      </c>
    </row>
    <row r="58" spans="1:19" ht="51" customHeight="1" x14ac:dyDescent="0.25">
      <c r="A58" s="129" t="s">
        <v>89</v>
      </c>
      <c r="F58" s="128" t="s">
        <v>167</v>
      </c>
      <c r="G58" s="128" t="str">
        <f>+"hero."&amp;SUBSTITUTE(SUBSTITUTE(LOWER(pictures.heroes[[#This Row],[Hero]])," ",""),"-","")&amp;".stage1"</f>
        <v>hero.triton.stage1</v>
      </c>
      <c r="H58" s="128" t="str">
        <f>+"hero."&amp;SUBSTITUTE(SUBSTITUTE(LOWER(pictures.heroes[[#This Row],[Hero]])," ",""),"-","")&amp;".stage2"</f>
        <v>hero.triton.stage2</v>
      </c>
      <c r="I58" s="128" t="str">
        <f>+"hero."&amp;SUBSTITUTE(SUBSTITUTE(LOWER(pictures.heroes[[#This Row],[Hero]])," ",""),"-","")&amp;".stage0"</f>
        <v>hero.triton.stage0</v>
      </c>
      <c r="J58" s="128" t="s">
        <v>173</v>
      </c>
      <c r="K58" s="128" t="s">
        <v>174</v>
      </c>
      <c r="L58" s="128" t="s">
        <v>175</v>
      </c>
      <c r="M58" s="126" t="s">
        <v>176</v>
      </c>
      <c r="N58" s="126" t="s">
        <v>177</v>
      </c>
      <c r="O58" s="128">
        <f>+ROW(pictures.skills[[#This Row],[Hero]])</f>
        <v>58</v>
      </c>
      <c r="P58" s="128" t="s">
        <v>168</v>
      </c>
      <c r="Q58" s="128" t="str">
        <f t="shared" si="0"/>
        <v>&lt;definedName name="hero.triton.stage1"&gt;'pictures-heroes'!$B$58&lt;/definedName&gt;</v>
      </c>
      <c r="R58" s="126" t="str">
        <f t="shared" si="1"/>
        <v>&lt;definedName name="hero.triton.stage2"&gt;'pictures-heroes'!$C$58&lt;/definedName&gt;</v>
      </c>
      <c r="S58" s="126" t="str">
        <f t="shared" si="2"/>
        <v>&lt;definedName name="hero.triton.stage0"&gt;'pictures-heroes'!$D$58&lt;/definedName&gt;</v>
      </c>
    </row>
    <row r="59" spans="1:19" ht="51" customHeight="1" x14ac:dyDescent="0.25">
      <c r="A59" s="129" t="s">
        <v>90</v>
      </c>
      <c r="F59" s="128" t="s">
        <v>167</v>
      </c>
      <c r="G59" s="128" t="str">
        <f>+"hero."&amp;SUBSTITUTE(SUBSTITUTE(LOWER(pictures.heroes[[#This Row],[Hero]])," ",""),"-","")&amp;".stage1"</f>
        <v>hero.trixietreat.stage1</v>
      </c>
      <c r="H59" s="128" t="str">
        <f>+"hero."&amp;SUBSTITUTE(SUBSTITUTE(LOWER(pictures.heroes[[#This Row],[Hero]])," ",""),"-","")&amp;".stage2"</f>
        <v>hero.trixietreat.stage2</v>
      </c>
      <c r="I59" s="128" t="str">
        <f>+"hero."&amp;SUBSTITUTE(SUBSTITUTE(LOWER(pictures.heroes[[#This Row],[Hero]])," ",""),"-","")&amp;".stage0"</f>
        <v>hero.trixietreat.stage0</v>
      </c>
      <c r="J59" s="128" t="s">
        <v>173</v>
      </c>
      <c r="K59" s="128" t="s">
        <v>174</v>
      </c>
      <c r="L59" s="128" t="s">
        <v>175</v>
      </c>
      <c r="M59" s="126" t="s">
        <v>176</v>
      </c>
      <c r="N59" s="126" t="s">
        <v>177</v>
      </c>
      <c r="O59" s="128">
        <f>+ROW(pictures.skills[[#This Row],[Hero]])</f>
        <v>59</v>
      </c>
      <c r="P59" s="128" t="s">
        <v>168</v>
      </c>
      <c r="Q59" s="128" t="str">
        <f t="shared" si="0"/>
        <v>&lt;definedName name="hero.trixietreat.stage1"&gt;'pictures-heroes'!$B$59&lt;/definedName&gt;</v>
      </c>
      <c r="R59" s="126" t="str">
        <f t="shared" si="1"/>
        <v>&lt;definedName name="hero.trixietreat.stage2"&gt;'pictures-heroes'!$C$59&lt;/definedName&gt;</v>
      </c>
      <c r="S59" s="126" t="str">
        <f t="shared" si="2"/>
        <v>&lt;definedName name="hero.trixietreat.stage0"&gt;'pictures-heroes'!$D$59&lt;/definedName&gt;</v>
      </c>
    </row>
    <row r="60" spans="1:19" ht="51" customHeight="1" x14ac:dyDescent="0.25">
      <c r="A60" s="129" t="s">
        <v>91</v>
      </c>
      <c r="F60" s="128" t="s">
        <v>167</v>
      </c>
      <c r="G60" s="128" t="str">
        <f>+"hero."&amp;SUBSTITUTE(SUBSTITUTE(LOWER(pictures.heroes[[#This Row],[Hero]])," ",""),"-","")&amp;".stage1"</f>
        <v>hero.valentina.stage1</v>
      </c>
      <c r="H60" s="128" t="str">
        <f>+"hero."&amp;SUBSTITUTE(SUBSTITUTE(LOWER(pictures.heroes[[#This Row],[Hero]])," ",""),"-","")&amp;".stage2"</f>
        <v>hero.valentina.stage2</v>
      </c>
      <c r="I60" s="128" t="str">
        <f>+"hero."&amp;SUBSTITUTE(SUBSTITUTE(LOWER(pictures.heroes[[#This Row],[Hero]])," ",""),"-","")&amp;".stage0"</f>
        <v>hero.valentina.stage0</v>
      </c>
      <c r="J60" s="128" t="s">
        <v>173</v>
      </c>
      <c r="K60" s="128" t="s">
        <v>174</v>
      </c>
      <c r="L60" s="128" t="s">
        <v>175</v>
      </c>
      <c r="M60" s="126" t="s">
        <v>176</v>
      </c>
      <c r="N60" s="126" t="s">
        <v>177</v>
      </c>
      <c r="O60" s="128">
        <f>+ROW(pictures.skills[[#This Row],[Hero]])</f>
        <v>60</v>
      </c>
      <c r="P60" s="128" t="s">
        <v>168</v>
      </c>
      <c r="Q60" s="128" t="str">
        <f t="shared" si="0"/>
        <v>&lt;definedName name="hero.valentina.stage1"&gt;'pictures-heroes'!$B$60&lt;/definedName&gt;</v>
      </c>
      <c r="R60" s="126" t="str">
        <f t="shared" si="1"/>
        <v>&lt;definedName name="hero.valentina.stage2"&gt;'pictures-heroes'!$C$60&lt;/definedName&gt;</v>
      </c>
      <c r="S60" s="126" t="str">
        <f t="shared" si="2"/>
        <v>&lt;definedName name="hero.valentina.stage0"&gt;'pictures-heroes'!$D$60&lt;/definedName&gt;</v>
      </c>
    </row>
    <row r="61" spans="1:19" ht="51" customHeight="1" x14ac:dyDescent="0.25">
      <c r="A61" s="129" t="s">
        <v>92</v>
      </c>
      <c r="F61" s="128" t="s">
        <v>167</v>
      </c>
      <c r="G61" s="128" t="str">
        <f>+"hero."&amp;SUBSTITUTE(SUBSTITUTE(LOWER(pictures.heroes[[#This Row],[Hero]])," ",""),"-","")&amp;".stage1"</f>
        <v>hero.vladdracula.stage1</v>
      </c>
      <c r="H61" s="128" t="str">
        <f>+"hero."&amp;SUBSTITUTE(SUBSTITUTE(LOWER(pictures.heroes[[#This Row],[Hero]])," ",""),"-","")&amp;".stage2"</f>
        <v>hero.vladdracula.stage2</v>
      </c>
      <c r="I61" s="128" t="str">
        <f>+"hero."&amp;SUBSTITUTE(SUBSTITUTE(LOWER(pictures.heroes[[#This Row],[Hero]])," ",""),"-","")&amp;".stage0"</f>
        <v>hero.vladdracula.stage0</v>
      </c>
      <c r="J61" s="128" t="s">
        <v>173</v>
      </c>
      <c r="K61" s="128" t="s">
        <v>174</v>
      </c>
      <c r="L61" s="128" t="s">
        <v>175</v>
      </c>
      <c r="M61" s="126" t="s">
        <v>176</v>
      </c>
      <c r="N61" s="126" t="s">
        <v>177</v>
      </c>
      <c r="O61" s="128">
        <f>+ROW(pictures.skills[[#This Row],[Hero]])</f>
        <v>61</v>
      </c>
      <c r="P61" s="128" t="s">
        <v>168</v>
      </c>
      <c r="Q61" s="128" t="str">
        <f t="shared" si="0"/>
        <v>&lt;definedName name="hero.vladdracula.stage1"&gt;'pictures-heroes'!$B$61&lt;/definedName&gt;</v>
      </c>
      <c r="R61" s="126" t="str">
        <f t="shared" si="1"/>
        <v>&lt;definedName name="hero.vladdracula.stage2"&gt;'pictures-heroes'!$C$61&lt;/definedName&gt;</v>
      </c>
      <c r="S61" s="126" t="str">
        <f t="shared" si="2"/>
        <v>&lt;definedName name="hero.vladdracula.stage0"&gt;'pictures-heroes'!$D$61&lt;/definedName&gt;</v>
      </c>
    </row>
    <row r="62" spans="1:19" ht="51" customHeight="1" x14ac:dyDescent="0.25">
      <c r="A62" s="129" t="s">
        <v>93</v>
      </c>
      <c r="F62" s="128" t="s">
        <v>167</v>
      </c>
      <c r="G62" s="128" t="str">
        <f>+"hero."&amp;SUBSTITUTE(SUBSTITUTE(LOWER(pictures.heroes[[#This Row],[Hero]])," ",""),"-","")&amp;".stage1"</f>
        <v>hero.warlock.stage1</v>
      </c>
      <c r="H62" s="128" t="str">
        <f>+"hero."&amp;SUBSTITUTE(SUBSTITUTE(LOWER(pictures.heroes[[#This Row],[Hero]])," ",""),"-","")&amp;".stage2"</f>
        <v>hero.warlock.stage2</v>
      </c>
      <c r="I62" s="128" t="str">
        <f>+"hero."&amp;SUBSTITUTE(SUBSTITUTE(LOWER(pictures.heroes[[#This Row],[Hero]])," ",""),"-","")&amp;".stage0"</f>
        <v>hero.warlock.stage0</v>
      </c>
      <c r="J62" s="128" t="s">
        <v>173</v>
      </c>
      <c r="K62" s="128" t="s">
        <v>174</v>
      </c>
      <c r="L62" s="128" t="s">
        <v>175</v>
      </c>
      <c r="M62" s="126" t="s">
        <v>176</v>
      </c>
      <c r="N62" s="126" t="s">
        <v>177</v>
      </c>
      <c r="O62" s="128">
        <f>+ROW(pictures.skills[[#This Row],[Hero]])</f>
        <v>62</v>
      </c>
      <c r="P62" s="128" t="s">
        <v>168</v>
      </c>
      <c r="Q62" s="128" t="str">
        <f t="shared" si="0"/>
        <v>&lt;definedName name="hero.warlock.stage1"&gt;'pictures-heroes'!$B$62&lt;/definedName&gt;</v>
      </c>
      <c r="R62" s="126" t="str">
        <f t="shared" si="1"/>
        <v>&lt;definedName name="hero.warlock.stage2"&gt;'pictures-heroes'!$C$62&lt;/definedName&gt;</v>
      </c>
      <c r="S62" s="126" t="str">
        <f t="shared" si="2"/>
        <v>&lt;definedName name="hero.warlock.stage0"&gt;'pictures-heroes'!$D$62&lt;/definedName&gt;</v>
      </c>
    </row>
    <row r="63" spans="1:19" ht="51" customHeight="1" x14ac:dyDescent="0.25">
      <c r="A63" s="129" t="s">
        <v>94</v>
      </c>
    </row>
    <row r="64" spans="1:19" x14ac:dyDescent="0.25">
      <c r="A64" s="136" t="s">
        <v>111</v>
      </c>
      <c r="B64" s="137"/>
      <c r="C64" s="137"/>
      <c r="D64" s="138"/>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64"/>
  <sheetViews>
    <sheetView workbookViewId="0"/>
  </sheetViews>
  <sheetFormatPr defaultRowHeight="15" x14ac:dyDescent="0.25"/>
  <cols>
    <col min="1" max="1" width="20.7109375" style="128" customWidth="1"/>
    <col min="2" max="2" width="5.42578125" style="128" customWidth="1"/>
    <col min="3" max="3" width="9.140625" style="128"/>
    <col min="4" max="9" width="0" style="128" hidden="1" customWidth="1"/>
    <col min="10" max="16384" width="9.140625" style="128"/>
  </cols>
  <sheetData>
    <row r="1" spans="1:9" x14ac:dyDescent="0.25">
      <c r="A1" s="128" t="s">
        <v>4</v>
      </c>
      <c r="B1" s="128" t="s">
        <v>161</v>
      </c>
    </row>
    <row r="2" spans="1:9" ht="29.1" customHeight="1" x14ac:dyDescent="0.25">
      <c r="A2" s="132" t="s">
        <v>9</v>
      </c>
      <c r="D2" s="128" t="s">
        <v>167</v>
      </c>
      <c r="E2" s="128" t="str">
        <f>+"skill."&amp;SUBSTITUTE(SUBSTITUTE(LOWER(pictures.skills[[#This Row],[Hero]])," ",""),"-","")</f>
        <v>skill.alchemist</v>
      </c>
      <c r="F2" s="128" t="s">
        <v>178</v>
      </c>
      <c r="G2" s="128">
        <f>+ROW(pictures.skills[[#This Row],[Hero]])</f>
        <v>2</v>
      </c>
      <c r="H2" s="128" t="s">
        <v>168</v>
      </c>
      <c r="I2" s="128" t="str">
        <f>+D2&amp;E2&amp;F2&amp;G2&amp;H2</f>
        <v>&lt;definedName name="skill.alchemist"&gt;'pictures-skill'!$B$2&lt;/definedName&gt;</v>
      </c>
    </row>
    <row r="3" spans="1:9" ht="29.1" customHeight="1" x14ac:dyDescent="0.25">
      <c r="A3" s="132" t="s">
        <v>14</v>
      </c>
      <c r="D3" s="128" t="s">
        <v>167</v>
      </c>
      <c r="E3" s="128" t="str">
        <f>+"skill."&amp;SUBSTITUTE(SUBSTITUTE(LOWER(pictures.skills[[#This Row],[Hero]])," ",""),"-","")</f>
        <v>skill.angel</v>
      </c>
      <c r="F3" s="128" t="s">
        <v>178</v>
      </c>
      <c r="G3" s="128">
        <f>+ROW(pictures.skills[[#This Row],[Hero]])</f>
        <v>3</v>
      </c>
      <c r="H3" s="128" t="s">
        <v>168</v>
      </c>
      <c r="I3" s="128" t="str">
        <f t="shared" ref="I3:I62" si="0">+D3&amp;E3&amp;F3&amp;G3&amp;H3</f>
        <v>&lt;definedName name="skill.angel"&gt;'pictures-skill'!$B$3&lt;/definedName&gt;</v>
      </c>
    </row>
    <row r="4" spans="1:9" ht="29.1" customHeight="1" x14ac:dyDescent="0.25">
      <c r="A4" s="150" t="s">
        <v>195</v>
      </c>
      <c r="B4" s="151"/>
      <c r="D4" s="128" t="s">
        <v>167</v>
      </c>
      <c r="E4" s="128" t="str">
        <f>+"skill."&amp;SUBSTITUTE(SUBSTITUTE(LOWER(pictures.skills[[#This Row],[Hero]])," ",""),"-","")</f>
        <v>skill.anubis</v>
      </c>
      <c r="F4" s="128" t="s">
        <v>178</v>
      </c>
      <c r="G4" s="128">
        <f>+ROW(pictures.skills[[#This Row],[Hero]])</f>
        <v>4</v>
      </c>
      <c r="H4" s="128" t="s">
        <v>168</v>
      </c>
      <c r="I4" s="128" t="str">
        <f t="shared" si="0"/>
        <v>&lt;definedName name="skill.anubis"&gt;'pictures-skill'!$B$4&lt;/definedName&gt;</v>
      </c>
    </row>
    <row r="5" spans="1:9" ht="29.1" customHeight="1" x14ac:dyDescent="0.25">
      <c r="A5" s="132" t="s">
        <v>17</v>
      </c>
      <c r="D5" s="128" t="s">
        <v>167</v>
      </c>
      <c r="E5" s="128" t="str">
        <f>+"skill."&amp;SUBSTITUTE(SUBSTITUTE(LOWER(pictures.skills[[#This Row],[Hero]])," ",""),"-","")</f>
        <v>skill.arctica</v>
      </c>
      <c r="F5" s="128" t="s">
        <v>178</v>
      </c>
      <c r="G5" s="128">
        <f>+ROW(pictures.skills[[#This Row],[Hero]])</f>
        <v>5</v>
      </c>
      <c r="H5" s="128" t="s">
        <v>168</v>
      </c>
      <c r="I5" s="128" t="str">
        <f t="shared" si="0"/>
        <v>&lt;definedName name="skill.arctica"&gt;'pictures-skill'!$B$5&lt;/definedName&gt;</v>
      </c>
    </row>
    <row r="6" spans="1:9" ht="29.1" customHeight="1" x14ac:dyDescent="0.25">
      <c r="A6" s="132" t="s">
        <v>19</v>
      </c>
      <c r="D6" s="128" t="s">
        <v>167</v>
      </c>
      <c r="E6" s="128" t="str">
        <f>+"skill."&amp;SUBSTITUTE(SUBSTITUTE(LOWER(pictures.skills[[#This Row],[Hero]])," ",""),"-","")</f>
        <v>skill.aries</v>
      </c>
      <c r="F6" s="128" t="s">
        <v>178</v>
      </c>
      <c r="G6" s="128">
        <f>+ROW(pictures.skills[[#This Row],[Hero]])</f>
        <v>6</v>
      </c>
      <c r="H6" s="128" t="s">
        <v>168</v>
      </c>
      <c r="I6" s="128" t="str">
        <f t="shared" si="0"/>
        <v>&lt;definedName name="skill.aries"&gt;'pictures-skill'!$B$6&lt;/definedName&gt;</v>
      </c>
    </row>
    <row r="7" spans="1:9" ht="29.1" customHeight="1" x14ac:dyDescent="0.25">
      <c r="A7" s="132" t="s">
        <v>21</v>
      </c>
      <c r="D7" s="128" t="s">
        <v>167</v>
      </c>
      <c r="E7" s="128" t="str">
        <f>+"skill."&amp;SUBSTITUTE(SUBSTITUTE(LOWER(pictures.skills[[#This Row],[Hero]])," ",""),"-","")</f>
        <v>skill.assassin</v>
      </c>
      <c r="F7" s="128" t="s">
        <v>178</v>
      </c>
      <c r="G7" s="128">
        <f>+ROW(pictures.skills[[#This Row],[Hero]])</f>
        <v>7</v>
      </c>
      <c r="H7" s="128" t="s">
        <v>168</v>
      </c>
      <c r="I7" s="128" t="str">
        <f t="shared" si="0"/>
        <v>&lt;definedName name="skill.assassin"&gt;'pictures-skill'!$B$7&lt;/definedName&gt;</v>
      </c>
    </row>
    <row r="8" spans="1:9" ht="29.1" customHeight="1" x14ac:dyDescent="0.25">
      <c r="A8" s="132" t="s">
        <v>23</v>
      </c>
      <c r="D8" s="128" t="s">
        <v>167</v>
      </c>
      <c r="E8" s="128" t="str">
        <f>+"skill."&amp;SUBSTITUTE(SUBSTITUTE(LOWER(pictures.skills[[#This Row],[Hero]])," ",""),"-","")</f>
        <v>skill.atlanticore</v>
      </c>
      <c r="F8" s="128" t="s">
        <v>178</v>
      </c>
      <c r="G8" s="128">
        <f>+ROW(pictures.skills[[#This Row],[Hero]])</f>
        <v>8</v>
      </c>
      <c r="H8" s="128" t="s">
        <v>168</v>
      </c>
      <c r="I8" s="128" t="str">
        <f t="shared" si="0"/>
        <v>&lt;definedName name="skill.atlanticore"&gt;'pictures-skill'!$B$8&lt;/definedName&gt;</v>
      </c>
    </row>
    <row r="9" spans="1:9" ht="29.1" customHeight="1" x14ac:dyDescent="0.25">
      <c r="A9" s="132" t="s">
        <v>25</v>
      </c>
      <c r="D9" s="128" t="s">
        <v>167</v>
      </c>
      <c r="E9" s="128" t="str">
        <f>+"skill."&amp;SUBSTITUTE(SUBSTITUTE(LOWER(pictures.skills[[#This Row],[Hero]])," ",""),"-","")</f>
        <v>skill.beasttamer</v>
      </c>
      <c r="F9" s="128" t="s">
        <v>178</v>
      </c>
      <c r="G9" s="128">
        <f>+ROW(pictures.skills[[#This Row],[Hero]])</f>
        <v>9</v>
      </c>
      <c r="H9" s="128" t="s">
        <v>168</v>
      </c>
      <c r="I9" s="128" t="str">
        <f t="shared" si="0"/>
        <v>&lt;definedName name="skill.beasttamer"&gt;'pictures-skill'!$B$9&lt;/definedName&gt;</v>
      </c>
    </row>
    <row r="10" spans="1:9" ht="29.1" customHeight="1" x14ac:dyDescent="0.25">
      <c r="A10" s="132" t="s">
        <v>27</v>
      </c>
      <c r="D10" s="128" t="s">
        <v>167</v>
      </c>
      <c r="E10" s="128" t="str">
        <f>+"skill."&amp;SUBSTITUTE(SUBSTITUTE(LOWER(pictures.skills[[#This Row],[Hero]])," ",""),"-","")</f>
        <v>skill.candykane</v>
      </c>
      <c r="F10" s="128" t="s">
        <v>178</v>
      </c>
      <c r="G10" s="128">
        <f>+ROW(pictures.skills[[#This Row],[Hero]])</f>
        <v>10</v>
      </c>
      <c r="H10" s="128" t="s">
        <v>168</v>
      </c>
      <c r="I10" s="128" t="str">
        <f t="shared" si="0"/>
        <v>&lt;definedName name="skill.candykane"&gt;'pictures-skill'!$B$10&lt;/definedName&gt;</v>
      </c>
    </row>
    <row r="11" spans="1:9" ht="29.1" customHeight="1" x14ac:dyDescent="0.25">
      <c r="A11" s="132" t="s">
        <v>29</v>
      </c>
      <c r="D11" s="128" t="s">
        <v>167</v>
      </c>
      <c r="E11" s="128" t="str">
        <f>+"skill."&amp;SUBSTITUTE(SUBSTITUTE(LOWER(pictures.skills[[#This Row],[Hero]])," ",""),"-","")</f>
        <v>skill.champion</v>
      </c>
      <c r="F11" s="128" t="s">
        <v>178</v>
      </c>
      <c r="G11" s="128">
        <f>+ROW(pictures.skills[[#This Row],[Hero]])</f>
        <v>11</v>
      </c>
      <c r="H11" s="128" t="s">
        <v>168</v>
      </c>
      <c r="I11" s="128" t="str">
        <f t="shared" si="0"/>
        <v>&lt;definedName name="skill.champion"&gt;'pictures-skill'!$B$11&lt;/definedName&gt;</v>
      </c>
    </row>
    <row r="12" spans="1:9" ht="29.1" customHeight="1" x14ac:dyDescent="0.25">
      <c r="A12" s="132" t="s">
        <v>31</v>
      </c>
      <c r="D12" s="128" t="s">
        <v>167</v>
      </c>
      <c r="E12" s="128" t="str">
        <f>+"skill."&amp;SUBSTITUTE(SUBSTITUTE(LOWER(pictures.skills[[#This Row],[Hero]])," ",""),"-","")</f>
        <v>skill.cupid</v>
      </c>
      <c r="F12" s="128" t="s">
        <v>178</v>
      </c>
      <c r="G12" s="128">
        <f>+ROW(pictures.skills[[#This Row],[Hero]])</f>
        <v>12</v>
      </c>
      <c r="H12" s="128" t="s">
        <v>168</v>
      </c>
      <c r="I12" s="128" t="str">
        <f t="shared" si="0"/>
        <v>&lt;definedName name="skill.cupid"&gt;'pictures-skill'!$B$12&lt;/definedName&gt;</v>
      </c>
    </row>
    <row r="13" spans="1:9" ht="29.1" customHeight="1" x14ac:dyDescent="0.25">
      <c r="A13" s="132" t="s">
        <v>33</v>
      </c>
      <c r="D13" s="128" t="s">
        <v>167</v>
      </c>
      <c r="E13" s="128" t="str">
        <f>+"skill."&amp;SUBSTITUTE(SUBSTITUTE(LOWER(pictures.skills[[#This Row],[Hero]])," ",""),"-","")</f>
        <v>skill.cyclops</v>
      </c>
      <c r="F13" s="128" t="s">
        <v>178</v>
      </c>
      <c r="G13" s="128">
        <f>+ROW(pictures.skills[[#This Row],[Hero]])</f>
        <v>13</v>
      </c>
      <c r="H13" s="128" t="s">
        <v>168</v>
      </c>
      <c r="I13" s="128" t="str">
        <f t="shared" si="0"/>
        <v>&lt;definedName name="skill.cyclops"&gt;'pictures-skill'!$B$13&lt;/definedName&gt;</v>
      </c>
    </row>
    <row r="14" spans="1:9" ht="29.1" customHeight="1" x14ac:dyDescent="0.25">
      <c r="A14" s="132" t="s">
        <v>35</v>
      </c>
      <c r="D14" s="128" t="s">
        <v>167</v>
      </c>
      <c r="E14" s="128" t="str">
        <f>+"skill."&amp;SUBSTITUTE(SUBSTITUTE(LOWER(pictures.skills[[#This Row],[Hero]])," ",""),"-","")</f>
        <v>skill.deathknight</v>
      </c>
      <c r="F14" s="128" t="s">
        <v>178</v>
      </c>
      <c r="G14" s="128">
        <f>+ROW(pictures.skills[[#This Row],[Hero]])</f>
        <v>14</v>
      </c>
      <c r="H14" s="128" t="s">
        <v>168</v>
      </c>
      <c r="I14" s="128" t="str">
        <f t="shared" si="0"/>
        <v>&lt;definedName name="skill.deathknight"&gt;'pictures-skill'!$B$14&lt;/definedName&gt;</v>
      </c>
    </row>
    <row r="15" spans="1:9" ht="29.1" customHeight="1" x14ac:dyDescent="0.25">
      <c r="A15" s="132" t="s">
        <v>37</v>
      </c>
      <c r="D15" s="128" t="s">
        <v>167</v>
      </c>
      <c r="E15" s="128" t="str">
        <f>+"skill."&amp;SUBSTITUTE(SUBSTITUTE(LOWER(pictures.skills[[#This Row],[Hero]])," ",""),"-","")</f>
        <v>skill.demogorgon</v>
      </c>
      <c r="F15" s="128" t="s">
        <v>178</v>
      </c>
      <c r="G15" s="128">
        <f>+ROW(pictures.skills[[#This Row],[Hero]])</f>
        <v>15</v>
      </c>
      <c r="H15" s="128" t="s">
        <v>168</v>
      </c>
      <c r="I15" s="128" t="str">
        <f t="shared" si="0"/>
        <v>&lt;definedName name="skill.demogorgon"&gt;'pictures-skill'!$B$15&lt;/definedName&gt;</v>
      </c>
    </row>
    <row r="16" spans="1:9" ht="29.1" customHeight="1" x14ac:dyDescent="0.25">
      <c r="A16" s="132" t="s">
        <v>39</v>
      </c>
      <c r="D16" s="128" t="s">
        <v>167</v>
      </c>
      <c r="E16" s="128" t="str">
        <f>+"skill."&amp;SUBSTITUTE(SUBSTITUTE(LOWER(pictures.skills[[#This Row],[Hero]])," ",""),"-","")</f>
        <v>skill.destroyer</v>
      </c>
      <c r="F16" s="128" t="s">
        <v>178</v>
      </c>
      <c r="G16" s="128">
        <f>+ROW(pictures.skills[[#This Row],[Hero]])</f>
        <v>16</v>
      </c>
      <c r="H16" s="128" t="s">
        <v>168</v>
      </c>
      <c r="I16" s="128" t="str">
        <f t="shared" si="0"/>
        <v>&lt;definedName name="skill.destroyer"&gt;'pictures-skill'!$B$16&lt;/definedName&gt;</v>
      </c>
    </row>
    <row r="17" spans="1:9" ht="29.1" customHeight="1" x14ac:dyDescent="0.25">
      <c r="A17" s="132" t="s">
        <v>41</v>
      </c>
      <c r="D17" s="128" t="s">
        <v>167</v>
      </c>
      <c r="E17" s="128" t="str">
        <f>+"skill."&amp;SUBSTITUTE(SUBSTITUTE(LOWER(pictures.skills[[#This Row],[Hero]])," ",""),"-","")</f>
        <v>skill.dracax</v>
      </c>
      <c r="F17" s="128" t="s">
        <v>178</v>
      </c>
      <c r="G17" s="128">
        <f>+ROW(pictures.skills[[#This Row],[Hero]])</f>
        <v>17</v>
      </c>
      <c r="H17" s="128" t="s">
        <v>168</v>
      </c>
      <c r="I17" s="128" t="str">
        <f t="shared" si="0"/>
        <v>&lt;definedName name="skill.dracax"&gt;'pictures-skill'!$B$17&lt;/definedName&gt;</v>
      </c>
    </row>
    <row r="18" spans="1:9" ht="29.1" customHeight="1" x14ac:dyDescent="0.25">
      <c r="A18" s="132" t="s">
        <v>43</v>
      </c>
      <c r="D18" s="128" t="s">
        <v>167</v>
      </c>
      <c r="E18" s="128" t="str">
        <f>+"skill."&amp;SUBSTITUTE(SUBSTITUTE(LOWER(pictures.skills[[#This Row],[Hero]])," ",""),"-","")</f>
        <v>skill.dreaddrake</v>
      </c>
      <c r="F18" s="128" t="s">
        <v>178</v>
      </c>
      <c r="G18" s="128">
        <f>+ROW(pictures.skills[[#This Row],[Hero]])</f>
        <v>18</v>
      </c>
      <c r="H18" s="128" t="s">
        <v>168</v>
      </c>
      <c r="I18" s="128" t="str">
        <f t="shared" si="0"/>
        <v>&lt;definedName name="skill.dreaddrake"&gt;'pictures-skill'!$B$18&lt;/definedName&gt;</v>
      </c>
    </row>
    <row r="19" spans="1:9" ht="29.1" customHeight="1" x14ac:dyDescent="0.25">
      <c r="A19" s="132" t="s">
        <v>45</v>
      </c>
      <c r="D19" s="128" t="s">
        <v>167</v>
      </c>
      <c r="E19" s="128" t="str">
        <f>+"skill."&amp;SUBSTITUTE(SUBSTITUTE(LOWER(pictures.skills[[#This Row],[Hero]])," ",""),"-","")</f>
        <v>skill.druid</v>
      </c>
      <c r="F19" s="128" t="s">
        <v>178</v>
      </c>
      <c r="G19" s="128">
        <f>+ROW(pictures.skills[[#This Row],[Hero]])</f>
        <v>19</v>
      </c>
      <c r="H19" s="128" t="s">
        <v>168</v>
      </c>
      <c r="I19" s="128" t="str">
        <f t="shared" si="0"/>
        <v>&lt;definedName name="skill.druid"&gt;'pictures-skill'!$B$19&lt;/definedName&gt;</v>
      </c>
    </row>
    <row r="20" spans="1:9" ht="29.1" customHeight="1" x14ac:dyDescent="0.25">
      <c r="A20" s="132" t="s">
        <v>47</v>
      </c>
      <c r="D20" s="128" t="s">
        <v>167</v>
      </c>
      <c r="E20" s="128" t="str">
        <f>+"skill."&amp;SUBSTITUTE(SUBSTITUTE(LOWER(pictures.skills[[#This Row],[Hero]])," ",""),"-","")</f>
        <v>skill.dryad</v>
      </c>
      <c r="F20" s="128" t="s">
        <v>178</v>
      </c>
      <c r="G20" s="128">
        <f>+ROW(pictures.skills[[#This Row],[Hero]])</f>
        <v>20</v>
      </c>
      <c r="H20" s="128" t="s">
        <v>168</v>
      </c>
      <c r="I20" s="128" t="str">
        <f t="shared" si="0"/>
        <v>&lt;definedName name="skill.dryad"&gt;'pictures-skill'!$B$20&lt;/definedName&gt;</v>
      </c>
    </row>
    <row r="21" spans="1:9" ht="29.1" customHeight="1" x14ac:dyDescent="0.25">
      <c r="A21" s="132" t="s">
        <v>49</v>
      </c>
      <c r="D21" s="128" t="s">
        <v>167</v>
      </c>
      <c r="E21" s="128" t="str">
        <f>+"skill."&amp;SUBSTITUTE(SUBSTITUTE(LOWER(pictures.skills[[#This Row],[Hero]])," ",""),"-","")</f>
        <v>skill.engineer</v>
      </c>
      <c r="F21" s="128" t="s">
        <v>178</v>
      </c>
      <c r="G21" s="128">
        <f>+ROW(pictures.skills[[#This Row],[Hero]])</f>
        <v>21</v>
      </c>
      <c r="H21" s="128" t="s">
        <v>168</v>
      </c>
      <c r="I21" s="128" t="str">
        <f t="shared" si="0"/>
        <v>&lt;definedName name="skill.engineer"&gt;'pictures-skill'!$B$21&lt;/definedName&gt;</v>
      </c>
    </row>
    <row r="22" spans="1:9" ht="29.1" customHeight="1" x14ac:dyDescent="0.25">
      <c r="A22" s="132" t="s">
        <v>51</v>
      </c>
      <c r="D22" s="128" t="s">
        <v>167</v>
      </c>
      <c r="E22" s="128" t="str">
        <f>+"skill."&amp;SUBSTITUTE(SUBSTITUTE(LOWER(pictures.skills[[#This Row],[Hero]])," ",""),"-","")</f>
        <v>skill.executioner</v>
      </c>
      <c r="F22" s="128" t="s">
        <v>178</v>
      </c>
      <c r="G22" s="128">
        <f>+ROW(pictures.skills[[#This Row],[Hero]])</f>
        <v>22</v>
      </c>
      <c r="H22" s="128" t="s">
        <v>168</v>
      </c>
      <c r="I22" s="128" t="str">
        <f t="shared" si="0"/>
        <v>&lt;definedName name="skill.executioner"&gt;'pictures-skill'!$B$22&lt;/definedName&gt;</v>
      </c>
    </row>
    <row r="23" spans="1:9" ht="29.1" customHeight="1" x14ac:dyDescent="0.25">
      <c r="A23" s="132" t="s">
        <v>53</v>
      </c>
      <c r="D23" s="128" t="s">
        <v>167</v>
      </c>
      <c r="E23" s="128" t="str">
        <f>+"skill."&amp;SUBSTITUTE(SUBSTITUTE(LOWER(pictures.skills[[#This Row],[Hero]])," ",""),"-","")</f>
        <v>skill.frostwitch</v>
      </c>
      <c r="F23" s="128" t="s">
        <v>178</v>
      </c>
      <c r="G23" s="128">
        <f>+ROW(pictures.skills[[#This Row],[Hero]])</f>
        <v>23</v>
      </c>
      <c r="H23" s="128" t="s">
        <v>168</v>
      </c>
      <c r="I23" s="128" t="str">
        <f t="shared" si="0"/>
        <v>&lt;definedName name="skill.frostwitch"&gt;'pictures-skill'!$B$23&lt;/definedName&gt;</v>
      </c>
    </row>
    <row r="24" spans="1:9" ht="29.1" customHeight="1" x14ac:dyDescent="0.25">
      <c r="A24" s="132" t="s">
        <v>55</v>
      </c>
      <c r="D24" s="128" t="s">
        <v>167</v>
      </c>
      <c r="E24" s="128" t="str">
        <f>+"skill."&amp;SUBSTITUTE(SUBSTITUTE(LOWER(pictures.skills[[#This Row],[Hero]])," ",""),"-","")</f>
        <v>skill.ghoulem</v>
      </c>
      <c r="F24" s="128" t="s">
        <v>178</v>
      </c>
      <c r="G24" s="128">
        <f>+ROW(pictures.skills[[#This Row],[Hero]])</f>
        <v>24</v>
      </c>
      <c r="H24" s="128" t="s">
        <v>168</v>
      </c>
      <c r="I24" s="128" t="str">
        <f t="shared" si="0"/>
        <v>&lt;definedName name="skill.ghoulem"&gt;'pictures-skill'!$B$24&lt;/definedName&gt;</v>
      </c>
    </row>
    <row r="25" spans="1:9" ht="29.1" customHeight="1" x14ac:dyDescent="0.25">
      <c r="A25" s="132" t="s">
        <v>56</v>
      </c>
      <c r="D25" s="128" t="s">
        <v>167</v>
      </c>
      <c r="E25" s="128" t="str">
        <f>+"skill."&amp;SUBSTITUTE(SUBSTITUTE(LOWER(pictures.skills[[#This Row],[Hero]])," ",""),"-","")</f>
        <v>skill.grimfiend</v>
      </c>
      <c r="F25" s="128" t="s">
        <v>178</v>
      </c>
      <c r="G25" s="128">
        <f>+ROW(pictures.skills[[#This Row],[Hero]])</f>
        <v>25</v>
      </c>
      <c r="H25" s="128" t="s">
        <v>168</v>
      </c>
      <c r="I25" s="128" t="str">
        <f t="shared" si="0"/>
        <v>&lt;definedName name="skill.grimfiend"&gt;'pictures-skill'!$B$25&lt;/definedName&gt;</v>
      </c>
    </row>
    <row r="26" spans="1:9" ht="29.1" customHeight="1" x14ac:dyDescent="0.25">
      <c r="A26" s="132" t="s">
        <v>57</v>
      </c>
      <c r="D26" s="128" t="s">
        <v>167</v>
      </c>
      <c r="E26" s="128" t="str">
        <f>+"skill."&amp;SUBSTITUTE(SUBSTITUTE(LOWER(pictures.skills[[#This Row],[Hero]])," ",""),"-","")</f>
        <v>skill.grizzlyreaper</v>
      </c>
      <c r="F26" s="128" t="s">
        <v>178</v>
      </c>
      <c r="G26" s="128">
        <f>+ROW(pictures.skills[[#This Row],[Hero]])</f>
        <v>26</v>
      </c>
      <c r="H26" s="128" t="s">
        <v>168</v>
      </c>
      <c r="I26" s="128" t="str">
        <f t="shared" si="0"/>
        <v>&lt;definedName name="skill.grizzlyreaper"&gt;'pictures-skill'!$B$26&lt;/definedName&gt;</v>
      </c>
    </row>
    <row r="27" spans="1:9" ht="29.1" customHeight="1" x14ac:dyDescent="0.25">
      <c r="A27" s="132" t="s">
        <v>58</v>
      </c>
      <c r="D27" s="128" t="s">
        <v>167</v>
      </c>
      <c r="E27" s="128" t="str">
        <f>+"skill."&amp;SUBSTITUTE(SUBSTITUTE(LOWER(pictures.skills[[#This Row],[Hero]])," ",""),"-","")</f>
        <v>skill.harpyqueen</v>
      </c>
      <c r="F27" s="128" t="s">
        <v>178</v>
      </c>
      <c r="G27" s="128">
        <f>+ROW(pictures.skills[[#This Row],[Hero]])</f>
        <v>27</v>
      </c>
      <c r="H27" s="128" t="s">
        <v>168</v>
      </c>
      <c r="I27" s="128" t="str">
        <f t="shared" si="0"/>
        <v>&lt;definedName name="skill.harpyqueen"&gt;'pictures-skill'!$B$27&lt;/definedName&gt;</v>
      </c>
    </row>
    <row r="28" spans="1:9" ht="29.1" customHeight="1" x14ac:dyDescent="0.25">
      <c r="A28" s="132" t="s">
        <v>59</v>
      </c>
      <c r="D28" s="128" t="s">
        <v>167</v>
      </c>
      <c r="E28" s="128" t="str">
        <f>+"skill."&amp;SUBSTITUTE(SUBSTITUTE(LOWER(pictures.skills[[#This Row],[Hero]])," ",""),"-","")</f>
        <v>skill.heartbreaker</v>
      </c>
      <c r="F28" s="128" t="s">
        <v>178</v>
      </c>
      <c r="G28" s="128">
        <f>+ROW(pictures.skills[[#This Row],[Hero]])</f>
        <v>28</v>
      </c>
      <c r="H28" s="128" t="s">
        <v>168</v>
      </c>
      <c r="I28" s="128" t="str">
        <f t="shared" si="0"/>
        <v>&lt;definedName name="skill.heartbreaker"&gt;'pictures-skill'!$B$28&lt;/definedName&gt;</v>
      </c>
    </row>
    <row r="29" spans="1:9" ht="29.1" customHeight="1" x14ac:dyDescent="0.25">
      <c r="A29" s="132" t="s">
        <v>60</v>
      </c>
      <c r="D29" s="128" t="s">
        <v>167</v>
      </c>
      <c r="E29" s="128" t="str">
        <f>+"skill."&amp;SUBSTITUTE(SUBSTITUTE(LOWER(pictures.skills[[#This Row],[Hero]])," ",""),"-","")</f>
        <v>skill.hillgiant</v>
      </c>
      <c r="F29" s="128" t="s">
        <v>178</v>
      </c>
      <c r="G29" s="128">
        <f>+ROW(pictures.skills[[#This Row],[Hero]])</f>
        <v>29</v>
      </c>
      <c r="H29" s="128" t="s">
        <v>168</v>
      </c>
      <c r="I29" s="128" t="str">
        <f t="shared" si="0"/>
        <v>&lt;definedName name="skill.hillgiant"&gt;'pictures-skill'!$B$29&lt;/definedName&gt;</v>
      </c>
    </row>
    <row r="30" spans="1:9" ht="29.1" customHeight="1" x14ac:dyDescent="0.25">
      <c r="A30" s="132" t="s">
        <v>61</v>
      </c>
      <c r="D30" s="128" t="s">
        <v>167</v>
      </c>
      <c r="E30" s="128" t="str">
        <f>+"skill."&amp;SUBSTITUTE(SUBSTITUTE(LOWER(pictures.skills[[#This Row],[Hero]])," ",""),"-","")</f>
        <v>skill.icedemon</v>
      </c>
      <c r="F30" s="128" t="s">
        <v>178</v>
      </c>
      <c r="G30" s="128">
        <f>+ROW(pictures.skills[[#This Row],[Hero]])</f>
        <v>30</v>
      </c>
      <c r="H30" s="128" t="s">
        <v>168</v>
      </c>
      <c r="I30" s="128" t="str">
        <f t="shared" si="0"/>
        <v>&lt;definedName name="skill.icedemon"&gt;'pictures-skill'!$B$30&lt;/definedName&gt;</v>
      </c>
    </row>
    <row r="31" spans="1:9" ht="29.1" customHeight="1" x14ac:dyDescent="0.25">
      <c r="A31" s="132" t="s">
        <v>62</v>
      </c>
      <c r="D31" s="128" t="s">
        <v>167</v>
      </c>
      <c r="E31" s="128" t="str">
        <f>+"skill."&amp;SUBSTITUTE(SUBSTITUTE(LOWER(pictures.skills[[#This Row],[Hero]])," ",""),"-","")</f>
        <v>skill.immortep</v>
      </c>
      <c r="F31" s="128" t="s">
        <v>178</v>
      </c>
      <c r="G31" s="128">
        <f>+ROW(pictures.skills[[#This Row],[Hero]])</f>
        <v>31</v>
      </c>
      <c r="H31" s="128" t="s">
        <v>168</v>
      </c>
      <c r="I31" s="128" t="str">
        <f t="shared" si="0"/>
        <v>&lt;definedName name="skill.immortep"&gt;'pictures-skill'!$B$31&lt;/definedName&gt;</v>
      </c>
    </row>
    <row r="32" spans="1:9" ht="29.1" customHeight="1" x14ac:dyDescent="0.25">
      <c r="A32" s="132" t="s">
        <v>63</v>
      </c>
      <c r="D32" s="128" t="s">
        <v>167</v>
      </c>
      <c r="E32" s="128" t="str">
        <f>+"skill."&amp;SUBSTITUTE(SUBSTITUTE(LOWER(pictures.skills[[#This Row],[Hero]])," ",""),"-","")</f>
        <v>skill.ladyleo</v>
      </c>
      <c r="F32" s="128" t="s">
        <v>178</v>
      </c>
      <c r="G32" s="128">
        <f>+ROW(pictures.skills[[#This Row],[Hero]])</f>
        <v>32</v>
      </c>
      <c r="H32" s="128" t="s">
        <v>168</v>
      </c>
      <c r="I32" s="128" t="str">
        <f t="shared" si="0"/>
        <v>&lt;definedName name="skill.ladyleo"&gt;'pictures-skill'!$B$32&lt;/definedName&gt;</v>
      </c>
    </row>
    <row r="33" spans="1:9" ht="29.1" customHeight="1" x14ac:dyDescent="0.25">
      <c r="A33" s="132" t="s">
        <v>64</v>
      </c>
      <c r="D33" s="128" t="s">
        <v>167</v>
      </c>
      <c r="E33" s="128" t="str">
        <f>+"skill."&amp;SUBSTITUTE(SUBSTITUTE(LOWER(pictures.skills[[#This Row],[Hero]])," ",""),"-","")</f>
        <v>skill.lilnick</v>
      </c>
      <c r="F33" s="128" t="s">
        <v>178</v>
      </c>
      <c r="G33" s="128">
        <f>+ROW(pictures.skills[[#This Row],[Hero]])</f>
        <v>33</v>
      </c>
      <c r="H33" s="128" t="s">
        <v>168</v>
      </c>
      <c r="I33" s="128" t="str">
        <f t="shared" si="0"/>
        <v>&lt;definedName name="skill.lilnick"&gt;'pictures-skill'!$B$33&lt;/definedName&gt;</v>
      </c>
    </row>
    <row r="34" spans="1:9" ht="29.1" customHeight="1" x14ac:dyDescent="0.25">
      <c r="A34" s="132" t="s">
        <v>65</v>
      </c>
      <c r="D34" s="128" t="s">
        <v>167</v>
      </c>
      <c r="E34" s="128" t="str">
        <f>+"skill."&amp;SUBSTITUTE(SUBSTITUTE(LOWER(pictures.skills[[#This Row],[Hero]])," ",""),"-","")</f>
        <v>skill.marauder</v>
      </c>
      <c r="F34" s="128" t="s">
        <v>178</v>
      </c>
      <c r="G34" s="128">
        <f>+ROW(pictures.skills[[#This Row],[Hero]])</f>
        <v>34</v>
      </c>
      <c r="H34" s="128" t="s">
        <v>168</v>
      </c>
      <c r="I34" s="128" t="str">
        <f t="shared" si="0"/>
        <v>&lt;definedName name="skill.marauder"&gt;'pictures-skill'!$B$34&lt;/definedName&gt;</v>
      </c>
    </row>
    <row r="35" spans="1:9" ht="29.1" customHeight="1" x14ac:dyDescent="0.25">
      <c r="A35" s="132" t="s">
        <v>66</v>
      </c>
      <c r="D35" s="128" t="s">
        <v>167</v>
      </c>
      <c r="E35" s="128" t="str">
        <f>+"skill."&amp;SUBSTITUTE(SUBSTITUTE(LOWER(pictures.skills[[#This Row],[Hero]])," ",""),"-","")</f>
        <v>skill.marksman</v>
      </c>
      <c r="F35" s="128" t="s">
        <v>178</v>
      </c>
      <c r="G35" s="128">
        <f>+ROW(pictures.skills[[#This Row],[Hero]])</f>
        <v>35</v>
      </c>
      <c r="H35" s="128" t="s">
        <v>168</v>
      </c>
      <c r="I35" s="128" t="str">
        <f t="shared" si="0"/>
        <v>&lt;definedName name="skill.marksman"&gt;'pictures-skill'!$B$35&lt;/definedName&gt;</v>
      </c>
    </row>
    <row r="36" spans="1:9" ht="29.1" customHeight="1" x14ac:dyDescent="0.25">
      <c r="A36" s="132" t="s">
        <v>67</v>
      </c>
      <c r="D36" s="128" t="s">
        <v>167</v>
      </c>
      <c r="E36" s="128" t="str">
        <f>+"skill."&amp;SUBSTITUTE(SUBSTITUTE(LOWER(pictures.skills[[#This Row],[Hero]])," ",""),"-","")</f>
        <v>skill.medusa</v>
      </c>
      <c r="F36" s="128" t="s">
        <v>178</v>
      </c>
      <c r="G36" s="128">
        <f>+ROW(pictures.skills[[#This Row],[Hero]])</f>
        <v>36</v>
      </c>
      <c r="H36" s="128" t="s">
        <v>168</v>
      </c>
      <c r="I36" s="128" t="str">
        <f t="shared" si="0"/>
        <v>&lt;definedName name="skill.medusa"&gt;'pictures-skill'!$B$36&lt;/definedName&gt;</v>
      </c>
    </row>
    <row r="37" spans="1:9" ht="29.1" customHeight="1" x14ac:dyDescent="0.25">
      <c r="A37" s="132" t="s">
        <v>68</v>
      </c>
      <c r="D37" s="128" t="s">
        <v>167</v>
      </c>
      <c r="E37" s="128" t="str">
        <f>+"skill."&amp;SUBSTITUTE(SUBSTITUTE(LOWER(pictures.skills[[#This Row],[Hero]])," ",""),"-","")</f>
        <v>skill.michael</v>
      </c>
      <c r="F37" s="128" t="s">
        <v>178</v>
      </c>
      <c r="G37" s="128">
        <f>+ROW(pictures.skills[[#This Row],[Hero]])</f>
        <v>37</v>
      </c>
      <c r="H37" s="128" t="s">
        <v>168</v>
      </c>
      <c r="I37" s="128" t="str">
        <f t="shared" si="0"/>
        <v>&lt;definedName name="skill.michael"&gt;'pictures-skill'!$B$37&lt;/definedName&gt;</v>
      </c>
    </row>
    <row r="38" spans="1:9" ht="29.1" customHeight="1" x14ac:dyDescent="0.25">
      <c r="A38" s="132" t="s">
        <v>69</v>
      </c>
      <c r="D38" s="128" t="s">
        <v>167</v>
      </c>
      <c r="E38" s="128" t="str">
        <f>+"skill."&amp;SUBSTITUTE(SUBSTITUTE(LOWER(pictures.skills[[#This Row],[Hero]])," ",""),"-","")</f>
        <v>skill.minotaurchieftain</v>
      </c>
      <c r="F38" s="128" t="s">
        <v>178</v>
      </c>
      <c r="G38" s="128">
        <f>+ROW(pictures.skills[[#This Row],[Hero]])</f>
        <v>38</v>
      </c>
      <c r="H38" s="128" t="s">
        <v>168</v>
      </c>
      <c r="I38" s="128" t="str">
        <f t="shared" si="0"/>
        <v>&lt;definedName name="skill.minotaurchieftain"&gt;'pictures-skill'!$B$38&lt;/definedName&gt;</v>
      </c>
    </row>
    <row r="39" spans="1:9" ht="29.1" customHeight="1" x14ac:dyDescent="0.25">
      <c r="A39" s="132" t="s">
        <v>70</v>
      </c>
      <c r="D39" s="128" t="s">
        <v>167</v>
      </c>
      <c r="E39" s="128" t="str">
        <f>+"skill."&amp;SUBSTITUTE(SUBSTITUTE(LOWER(pictures.skills[[#This Row],[Hero]])," ",""),"-","")</f>
        <v>skill.moltanica</v>
      </c>
      <c r="F39" s="128" t="s">
        <v>178</v>
      </c>
      <c r="G39" s="128">
        <f>+ROW(pictures.skills[[#This Row],[Hero]])</f>
        <v>39</v>
      </c>
      <c r="H39" s="128" t="s">
        <v>168</v>
      </c>
      <c r="I39" s="128" t="str">
        <f t="shared" si="0"/>
        <v>&lt;definedName name="skill.moltanica"&gt;'pictures-skill'!$B$39&lt;/definedName&gt;</v>
      </c>
    </row>
    <row r="40" spans="1:9" ht="29.1" customHeight="1" x14ac:dyDescent="0.25">
      <c r="A40" s="132" t="s">
        <v>71</v>
      </c>
      <c r="D40" s="128" t="s">
        <v>167</v>
      </c>
      <c r="E40" s="128" t="str">
        <f>+"skill."&amp;SUBSTITUTE(SUBSTITUTE(LOWER(pictures.skills[[#This Row],[Hero]])," ",""),"-","")</f>
        <v>skill.ninja</v>
      </c>
      <c r="F40" s="128" t="s">
        <v>178</v>
      </c>
      <c r="G40" s="128">
        <f>+ROW(pictures.skills[[#This Row],[Hero]])</f>
        <v>40</v>
      </c>
      <c r="H40" s="128" t="s">
        <v>168</v>
      </c>
      <c r="I40" s="128" t="str">
        <f t="shared" si="0"/>
        <v>&lt;definedName name="skill.ninja"&gt;'pictures-skill'!$B$40&lt;/definedName&gt;</v>
      </c>
    </row>
    <row r="41" spans="1:9" ht="29.1" customHeight="1" x14ac:dyDescent="0.25">
      <c r="A41" s="132" t="s">
        <v>72</v>
      </c>
      <c r="D41" s="128" t="s">
        <v>167</v>
      </c>
      <c r="E41" s="128" t="str">
        <f>+"skill."&amp;SUBSTITUTE(SUBSTITUTE(LOWER(pictures.skills[[#This Row],[Hero]])," ",""),"-","")</f>
        <v>skill.orksbane</v>
      </c>
      <c r="F41" s="128" t="s">
        <v>178</v>
      </c>
      <c r="G41" s="128">
        <f>+ROW(pictures.skills[[#This Row],[Hero]])</f>
        <v>41</v>
      </c>
      <c r="H41" s="128" t="s">
        <v>168</v>
      </c>
      <c r="I41" s="128" t="str">
        <f t="shared" si="0"/>
        <v>&lt;definedName name="skill.orksbane"&gt;'pictures-skill'!$B$41&lt;/definedName&gt;</v>
      </c>
    </row>
    <row r="42" spans="1:9" ht="29.1" customHeight="1" x14ac:dyDescent="0.25">
      <c r="A42" s="132" t="s">
        <v>73</v>
      </c>
      <c r="D42" s="128" t="s">
        <v>167</v>
      </c>
      <c r="E42" s="128" t="str">
        <f>+"skill."&amp;SUBSTITUTE(SUBSTITUTE(LOWER(pictures.skills[[#This Row],[Hero]])," ",""),"-","")</f>
        <v>skill.painda</v>
      </c>
      <c r="F42" s="128" t="s">
        <v>178</v>
      </c>
      <c r="G42" s="128">
        <f>+ROW(pictures.skills[[#This Row],[Hero]])</f>
        <v>42</v>
      </c>
      <c r="H42" s="128" t="s">
        <v>168</v>
      </c>
      <c r="I42" s="128" t="str">
        <f t="shared" si="0"/>
        <v>&lt;definedName name="skill.painda"&gt;'pictures-skill'!$B$42&lt;/definedName&gt;</v>
      </c>
    </row>
    <row r="43" spans="1:9" ht="29.1" customHeight="1" x14ac:dyDescent="0.25">
      <c r="A43" s="132" t="s">
        <v>74</v>
      </c>
      <c r="D43" s="128" t="s">
        <v>167</v>
      </c>
      <c r="E43" s="128" t="str">
        <f>+"skill."&amp;SUBSTITUTE(SUBSTITUTE(LOWER(pictures.skills[[#This Row],[Hero]])," ",""),"-","")</f>
        <v>skill.paladin</v>
      </c>
      <c r="F43" s="128" t="s">
        <v>178</v>
      </c>
      <c r="G43" s="128">
        <f>+ROW(pictures.skills[[#This Row],[Hero]])</f>
        <v>43</v>
      </c>
      <c r="H43" s="128" t="s">
        <v>168</v>
      </c>
      <c r="I43" s="128" t="str">
        <f t="shared" si="0"/>
        <v>&lt;definedName name="skill.paladin"&gt;'pictures-skill'!$B$43&lt;/definedName&gt;</v>
      </c>
    </row>
    <row r="44" spans="1:9" ht="29.1" customHeight="1" x14ac:dyDescent="0.25">
      <c r="A44" s="132" t="s">
        <v>75</v>
      </c>
      <c r="D44" s="128" t="s">
        <v>167</v>
      </c>
      <c r="E44" s="128" t="str">
        <f>+"skill."&amp;SUBSTITUTE(SUBSTITUTE(LOWER(pictures.skills[[#This Row],[Hero]])," ",""),"-","")</f>
        <v>skill.phantomking</v>
      </c>
      <c r="F44" s="128" t="s">
        <v>178</v>
      </c>
      <c r="G44" s="128">
        <f>+ROW(pictures.skills[[#This Row],[Hero]])</f>
        <v>44</v>
      </c>
      <c r="H44" s="128" t="s">
        <v>168</v>
      </c>
      <c r="I44" s="128" t="str">
        <f t="shared" si="0"/>
        <v>&lt;definedName name="skill.phantomking"&gt;'pictures-skill'!$B$44&lt;/definedName&gt;</v>
      </c>
    </row>
    <row r="45" spans="1:9" ht="29.1" customHeight="1" x14ac:dyDescent="0.25">
      <c r="A45" s="132" t="s">
        <v>76</v>
      </c>
      <c r="D45" s="128" t="s">
        <v>167</v>
      </c>
      <c r="E45" s="128" t="str">
        <f>+"skill."&amp;SUBSTITUTE(SUBSTITUTE(LOWER(pictures.skills[[#This Row],[Hero]])," ",""),"-","")</f>
        <v>skill.pixie</v>
      </c>
      <c r="F45" s="128" t="s">
        <v>178</v>
      </c>
      <c r="G45" s="128">
        <f>+ROW(pictures.skills[[#This Row],[Hero]])</f>
        <v>45</v>
      </c>
      <c r="H45" s="128" t="s">
        <v>168</v>
      </c>
      <c r="I45" s="128" t="str">
        <f t="shared" si="0"/>
        <v>&lt;definedName name="skill.pixie"&gt;'pictures-skill'!$B$45&lt;/definedName&gt;</v>
      </c>
    </row>
    <row r="46" spans="1:9" ht="29.1" customHeight="1" x14ac:dyDescent="0.25">
      <c r="A46" s="132" t="s">
        <v>77</v>
      </c>
      <c r="D46" s="128" t="s">
        <v>167</v>
      </c>
      <c r="E46" s="128" t="str">
        <f>+"skill."&amp;SUBSTITUTE(SUBSTITUTE(LOWER(pictures.skills[[#This Row],[Hero]])," ",""),"-","")</f>
        <v>skill.pumpkinduke</v>
      </c>
      <c r="F46" s="128" t="s">
        <v>178</v>
      </c>
      <c r="G46" s="128">
        <f>+ROW(pictures.skills[[#This Row],[Hero]])</f>
        <v>46</v>
      </c>
      <c r="H46" s="128" t="s">
        <v>168</v>
      </c>
      <c r="I46" s="128" t="str">
        <f t="shared" si="0"/>
        <v>&lt;definedName name="skill.pumpkinduke"&gt;'pictures-skill'!$B$46&lt;/definedName&gt;</v>
      </c>
    </row>
    <row r="47" spans="1:9" ht="29.1" customHeight="1" x14ac:dyDescent="0.25">
      <c r="A47" s="132" t="s">
        <v>78</v>
      </c>
      <c r="D47" s="128" t="s">
        <v>167</v>
      </c>
      <c r="E47" s="128" t="str">
        <f>+"skill."&amp;SUBSTITUTE(SUBSTITUTE(LOWER(pictures.skills[[#This Row],[Hero]])," ",""),"-","")</f>
        <v>skill.revenant</v>
      </c>
      <c r="F47" s="128" t="s">
        <v>178</v>
      </c>
      <c r="G47" s="128">
        <f>+ROW(pictures.skills[[#This Row],[Hero]])</f>
        <v>47</v>
      </c>
      <c r="H47" s="128" t="s">
        <v>168</v>
      </c>
      <c r="I47" s="128" t="str">
        <f t="shared" si="0"/>
        <v>&lt;definedName name="skill.revenant"&gt;'pictures-skill'!$B$47&lt;/definedName&gt;</v>
      </c>
    </row>
    <row r="48" spans="1:9" ht="29.1" customHeight="1" x14ac:dyDescent="0.25">
      <c r="A48" s="132" t="s">
        <v>79</v>
      </c>
      <c r="D48" s="128" t="s">
        <v>167</v>
      </c>
      <c r="E48" s="128" t="str">
        <f>+"skill."&amp;SUBSTITUTE(SUBSTITUTE(LOWER(pictures.skills[[#This Row],[Hero]])," ",""),"-","")</f>
        <v>skill.santaboom</v>
      </c>
      <c r="F48" s="128" t="s">
        <v>178</v>
      </c>
      <c r="G48" s="128">
        <f>+ROW(pictures.skills[[#This Row],[Hero]])</f>
        <v>48</v>
      </c>
      <c r="H48" s="128" t="s">
        <v>168</v>
      </c>
      <c r="I48" s="128" t="str">
        <f t="shared" si="0"/>
        <v>&lt;definedName name="skill.santaboom"&gt;'pictures-skill'!$B$48&lt;/definedName&gt;</v>
      </c>
    </row>
    <row r="49" spans="1:9" ht="29.1" customHeight="1" x14ac:dyDescent="0.25">
      <c r="A49" s="132" t="s">
        <v>80</v>
      </c>
      <c r="D49" s="128" t="s">
        <v>167</v>
      </c>
      <c r="E49" s="128" t="str">
        <f>+"skill."&amp;SUBSTITUTE(SUBSTITUTE(LOWER(pictures.skills[[#This Row],[Hero]])," ",""),"-","")</f>
        <v>skill.serpentqueen</v>
      </c>
      <c r="F49" s="128" t="s">
        <v>178</v>
      </c>
      <c r="G49" s="128">
        <f>+ROW(pictures.skills[[#This Row],[Hero]])</f>
        <v>49</v>
      </c>
      <c r="H49" s="128" t="s">
        <v>168</v>
      </c>
      <c r="I49" s="128" t="str">
        <f t="shared" si="0"/>
        <v>&lt;definedName name="skill.serpentqueen"&gt;'pictures-skill'!$B$49&lt;/definedName&gt;</v>
      </c>
    </row>
    <row r="50" spans="1:9" ht="29.1" customHeight="1" x14ac:dyDescent="0.25">
      <c r="A50" s="132" t="s">
        <v>81</v>
      </c>
      <c r="D50" s="128" t="s">
        <v>167</v>
      </c>
      <c r="E50" s="128" t="str">
        <f>+"skill."&amp;SUBSTITUTE(SUBSTITUTE(LOWER(pictures.skills[[#This Row],[Hero]])," ",""),"-","")</f>
        <v>skill.shaman</v>
      </c>
      <c r="F50" s="128" t="s">
        <v>178</v>
      </c>
      <c r="G50" s="128">
        <f>+ROW(pictures.skills[[#This Row],[Hero]])</f>
        <v>50</v>
      </c>
      <c r="H50" s="128" t="s">
        <v>168</v>
      </c>
      <c r="I50" s="128" t="str">
        <f t="shared" si="0"/>
        <v>&lt;definedName name="skill.shaman"&gt;'pictures-skill'!$B$50&lt;/definedName&gt;</v>
      </c>
    </row>
    <row r="51" spans="1:9" ht="29.1" customHeight="1" x14ac:dyDescent="0.25">
      <c r="A51" s="132" t="s">
        <v>82</v>
      </c>
      <c r="D51" s="128" t="s">
        <v>167</v>
      </c>
      <c r="E51" s="128" t="str">
        <f>+"skill."&amp;SUBSTITUTE(SUBSTITUTE(LOWER(pictures.skills[[#This Row],[Hero]])," ",""),"-","")</f>
        <v>skill.siren</v>
      </c>
      <c r="F51" s="128" t="s">
        <v>178</v>
      </c>
      <c r="G51" s="128">
        <f>+ROW(pictures.skills[[#This Row],[Hero]])</f>
        <v>51</v>
      </c>
      <c r="H51" s="128" t="s">
        <v>168</v>
      </c>
      <c r="I51" s="128" t="str">
        <f t="shared" si="0"/>
        <v>&lt;definedName name="skill.siren"&gt;'pictures-skill'!$B$51&lt;/definedName&gt;</v>
      </c>
    </row>
    <row r="52" spans="1:9" ht="29.1" customHeight="1" x14ac:dyDescent="0.25">
      <c r="A52" s="132" t="s">
        <v>83</v>
      </c>
      <c r="D52" s="128" t="s">
        <v>167</v>
      </c>
      <c r="E52" s="128" t="str">
        <f>+"skill."&amp;SUBSTITUTE(SUBSTITUTE(LOWER(pictures.skills[[#This Row],[Hero]])," ",""),"-","")</f>
        <v>skill.skullknight</v>
      </c>
      <c r="F52" s="128" t="s">
        <v>178</v>
      </c>
      <c r="G52" s="128">
        <f>+ROW(pictures.skills[[#This Row],[Hero]])</f>
        <v>52</v>
      </c>
      <c r="H52" s="128" t="s">
        <v>168</v>
      </c>
      <c r="I52" s="128" t="str">
        <f t="shared" si="0"/>
        <v>&lt;definedName name="skill.skullknight"&gt;'pictures-skill'!$B$52&lt;/definedName&gt;</v>
      </c>
    </row>
    <row r="53" spans="1:9" ht="29.1" customHeight="1" x14ac:dyDescent="0.25">
      <c r="A53" s="132" t="s">
        <v>84</v>
      </c>
      <c r="D53" s="128" t="s">
        <v>167</v>
      </c>
      <c r="E53" s="128" t="str">
        <f>+"skill."&amp;SUBSTITUTE(SUBSTITUTE(LOWER(pictures.skills[[#This Row],[Hero]])," ",""),"-","")</f>
        <v>skill.snowzilla</v>
      </c>
      <c r="F53" s="128" t="s">
        <v>178</v>
      </c>
      <c r="G53" s="128">
        <f>+ROW(pictures.skills[[#This Row],[Hero]])</f>
        <v>53</v>
      </c>
      <c r="H53" s="128" t="s">
        <v>168</v>
      </c>
      <c r="I53" s="128" t="str">
        <f t="shared" si="0"/>
        <v>&lt;definedName name="skill.snowzilla"&gt;'pictures-skill'!$B$53&lt;/definedName&gt;</v>
      </c>
    </row>
    <row r="54" spans="1:9" ht="29.1" customHeight="1" x14ac:dyDescent="0.25">
      <c r="A54" s="132" t="s">
        <v>85</v>
      </c>
      <c r="D54" s="128" t="s">
        <v>167</v>
      </c>
      <c r="E54" s="128" t="str">
        <f>+"skill."&amp;SUBSTITUTE(SUBSTITUTE(LOWER(pictures.skills[[#This Row],[Hero]])," ",""),"-","")</f>
        <v>skill.spiritmage</v>
      </c>
      <c r="F54" s="128" t="s">
        <v>178</v>
      </c>
      <c r="G54" s="128">
        <f>+ROW(pictures.skills[[#This Row],[Hero]])</f>
        <v>54</v>
      </c>
      <c r="H54" s="128" t="s">
        <v>168</v>
      </c>
      <c r="I54" s="128" t="str">
        <f t="shared" si="0"/>
        <v>&lt;definedName name="skill.spiritmage"&gt;'pictures-skill'!$B$54&lt;/definedName&gt;</v>
      </c>
    </row>
    <row r="55" spans="1:9" ht="29.1" customHeight="1" x14ac:dyDescent="0.25">
      <c r="A55" s="132" t="s">
        <v>86</v>
      </c>
      <c r="D55" s="128" t="s">
        <v>167</v>
      </c>
      <c r="E55" s="128" t="str">
        <f>+"skill."&amp;SUBSTITUTE(SUBSTITUTE(LOWER(pictures.skills[[#This Row],[Hero]])," ",""),"-","")</f>
        <v>skill.succubus</v>
      </c>
      <c r="F55" s="128" t="s">
        <v>178</v>
      </c>
      <c r="G55" s="128">
        <f>+ROW(pictures.skills[[#This Row],[Hero]])</f>
        <v>55</v>
      </c>
      <c r="H55" s="128" t="s">
        <v>168</v>
      </c>
      <c r="I55" s="128" t="str">
        <f t="shared" si="0"/>
        <v>&lt;definedName name="skill.succubus"&gt;'pictures-skill'!$B$55&lt;/definedName&gt;</v>
      </c>
    </row>
    <row r="56" spans="1:9" ht="29.1" customHeight="1" x14ac:dyDescent="0.25">
      <c r="A56" s="132" t="s">
        <v>87</v>
      </c>
      <c r="D56" s="128" t="s">
        <v>167</v>
      </c>
      <c r="E56" s="128" t="str">
        <f>+"skill."&amp;SUBSTITUTE(SUBSTITUTE(LOWER(pictures.skills[[#This Row],[Hero]])," ",""),"-","")</f>
        <v>skill.thundergod</v>
      </c>
      <c r="F56" s="128" t="s">
        <v>178</v>
      </c>
      <c r="G56" s="128">
        <f>+ROW(pictures.skills[[#This Row],[Hero]])</f>
        <v>56</v>
      </c>
      <c r="H56" s="128" t="s">
        <v>168</v>
      </c>
      <c r="I56" s="128" t="str">
        <f t="shared" si="0"/>
        <v>&lt;definedName name="skill.thundergod"&gt;'pictures-skill'!$B$56&lt;/definedName&gt;</v>
      </c>
    </row>
    <row r="57" spans="1:9" ht="29.1" customHeight="1" x14ac:dyDescent="0.25">
      <c r="A57" s="132" t="s">
        <v>88</v>
      </c>
      <c r="D57" s="128" t="s">
        <v>167</v>
      </c>
      <c r="E57" s="128" t="str">
        <f>+"skill."&amp;SUBSTITUTE(SUBSTITUTE(LOWER(pictures.skills[[#This Row],[Hero]])," ",""),"-","")</f>
        <v>skill.treantaur</v>
      </c>
      <c r="F57" s="128" t="s">
        <v>178</v>
      </c>
      <c r="G57" s="128">
        <f>+ROW(pictures.skills[[#This Row],[Hero]])</f>
        <v>57</v>
      </c>
      <c r="H57" s="128" t="s">
        <v>168</v>
      </c>
      <c r="I57" s="128" t="str">
        <f t="shared" si="0"/>
        <v>&lt;definedName name="skill.treantaur"&gt;'pictures-skill'!$B$57&lt;/definedName&gt;</v>
      </c>
    </row>
    <row r="58" spans="1:9" ht="29.1" customHeight="1" x14ac:dyDescent="0.25">
      <c r="A58" s="132" t="s">
        <v>89</v>
      </c>
      <c r="D58" s="128" t="s">
        <v>167</v>
      </c>
      <c r="E58" s="128" t="str">
        <f>+"skill."&amp;SUBSTITUTE(SUBSTITUTE(LOWER(pictures.skills[[#This Row],[Hero]])," ",""),"-","")</f>
        <v>skill.triton</v>
      </c>
      <c r="F58" s="128" t="s">
        <v>178</v>
      </c>
      <c r="G58" s="128">
        <f>+ROW(pictures.skills[[#This Row],[Hero]])</f>
        <v>58</v>
      </c>
      <c r="H58" s="128" t="s">
        <v>168</v>
      </c>
      <c r="I58" s="128" t="str">
        <f t="shared" si="0"/>
        <v>&lt;definedName name="skill.triton"&gt;'pictures-skill'!$B$58&lt;/definedName&gt;</v>
      </c>
    </row>
    <row r="59" spans="1:9" ht="29.1" customHeight="1" x14ac:dyDescent="0.25">
      <c r="A59" s="132" t="s">
        <v>90</v>
      </c>
      <c r="D59" s="128" t="s">
        <v>167</v>
      </c>
      <c r="E59" s="128" t="str">
        <f>+"skill."&amp;SUBSTITUTE(SUBSTITUTE(LOWER(pictures.skills[[#This Row],[Hero]])," ",""),"-","")</f>
        <v>skill.trixietreat</v>
      </c>
      <c r="F59" s="128" t="s">
        <v>178</v>
      </c>
      <c r="G59" s="128">
        <f>+ROW(pictures.skills[[#This Row],[Hero]])</f>
        <v>59</v>
      </c>
      <c r="H59" s="128" t="s">
        <v>168</v>
      </c>
      <c r="I59" s="128" t="str">
        <f t="shared" si="0"/>
        <v>&lt;definedName name="skill.trixietreat"&gt;'pictures-skill'!$B$59&lt;/definedName&gt;</v>
      </c>
    </row>
    <row r="60" spans="1:9" ht="29.1" customHeight="1" x14ac:dyDescent="0.25">
      <c r="A60" s="132" t="s">
        <v>91</v>
      </c>
      <c r="D60" s="128" t="s">
        <v>167</v>
      </c>
      <c r="E60" s="128" t="str">
        <f>+"skill."&amp;SUBSTITUTE(SUBSTITUTE(LOWER(pictures.skills[[#This Row],[Hero]])," ",""),"-","")</f>
        <v>skill.valentina</v>
      </c>
      <c r="F60" s="128" t="s">
        <v>178</v>
      </c>
      <c r="G60" s="128">
        <f>+ROW(pictures.skills[[#This Row],[Hero]])</f>
        <v>60</v>
      </c>
      <c r="H60" s="128" t="s">
        <v>168</v>
      </c>
      <c r="I60" s="128" t="str">
        <f t="shared" si="0"/>
        <v>&lt;definedName name="skill.valentina"&gt;'pictures-skill'!$B$60&lt;/definedName&gt;</v>
      </c>
    </row>
    <row r="61" spans="1:9" ht="29.1" customHeight="1" x14ac:dyDescent="0.25">
      <c r="A61" s="132" t="s">
        <v>92</v>
      </c>
      <c r="D61" s="128" t="s">
        <v>167</v>
      </c>
      <c r="E61" s="128" t="str">
        <f>+"skill."&amp;SUBSTITUTE(SUBSTITUTE(LOWER(pictures.skills[[#This Row],[Hero]])," ",""),"-","")</f>
        <v>skill.vladdracula</v>
      </c>
      <c r="F61" s="128" t="s">
        <v>178</v>
      </c>
      <c r="G61" s="128">
        <f>+ROW(pictures.skills[[#This Row],[Hero]])</f>
        <v>61</v>
      </c>
      <c r="H61" s="128" t="s">
        <v>168</v>
      </c>
      <c r="I61" s="128" t="str">
        <f t="shared" si="0"/>
        <v>&lt;definedName name="skill.vladdracula"&gt;'pictures-skill'!$B$61&lt;/definedName&gt;</v>
      </c>
    </row>
    <row r="62" spans="1:9" ht="29.1" customHeight="1" x14ac:dyDescent="0.25">
      <c r="A62" s="132" t="s">
        <v>93</v>
      </c>
      <c r="D62" s="128" t="s">
        <v>167</v>
      </c>
      <c r="E62" s="128" t="str">
        <f>+"skill."&amp;SUBSTITUTE(SUBSTITUTE(LOWER(pictures.skills[[#This Row],[Hero]])," ",""),"-","")</f>
        <v>skill.warlock</v>
      </c>
      <c r="F62" s="128" t="s">
        <v>178</v>
      </c>
      <c r="G62" s="128">
        <f>+ROW(pictures.skills[[#This Row],[Hero]])</f>
        <v>62</v>
      </c>
      <c r="H62" s="128" t="s">
        <v>168</v>
      </c>
      <c r="I62" s="128" t="str">
        <f t="shared" si="0"/>
        <v>&lt;definedName name="skill.warlock"&gt;'pictures-skill'!$B$62&lt;/definedName&gt;</v>
      </c>
    </row>
    <row r="63" spans="1:9" x14ac:dyDescent="0.25">
      <c r="A63" s="132" t="s">
        <v>94</v>
      </c>
    </row>
    <row r="64" spans="1:9" x14ac:dyDescent="0.25">
      <c r="A64" s="135" t="s">
        <v>111</v>
      </c>
      <c r="B64" s="134"/>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61"/>
  <sheetViews>
    <sheetView workbookViewId="0"/>
  </sheetViews>
  <sheetFormatPr defaultColWidth="9.140625" defaultRowHeight="15" x14ac:dyDescent="0.25"/>
  <cols>
    <col min="1" max="1" width="20.7109375" style="128" customWidth="1"/>
    <col min="2" max="2" width="5.5703125" style="128" customWidth="1"/>
    <col min="3" max="3" width="9.140625" style="128"/>
    <col min="4" max="5" width="9.140625" style="128" hidden="1" customWidth="1"/>
    <col min="6" max="9" width="0" style="128" hidden="1" customWidth="1"/>
    <col min="10" max="16384" width="9.140625" style="128"/>
  </cols>
  <sheetData>
    <row r="1" spans="1:9" ht="15" customHeight="1" x14ac:dyDescent="0.25">
      <c r="A1" s="128" t="s">
        <v>104</v>
      </c>
      <c r="B1" s="128" t="s">
        <v>162</v>
      </c>
    </row>
    <row r="2" spans="1:9" ht="28.35" customHeight="1" x14ac:dyDescent="0.25">
      <c r="A2" s="132" t="s">
        <v>8</v>
      </c>
      <c r="D2" s="128" t="s">
        <v>167</v>
      </c>
      <c r="E2" s="128" t="str">
        <f>+"talent1."&amp;SUBSTITUTE(SUBSTITUTE(SUBSTITUTE(LOWER(pictures.talent1[[#This Row],[Talent]])," ",""),"-",""),"'","")</f>
        <v>talent1.berserk</v>
      </c>
      <c r="F2" s="128" t="s">
        <v>179</v>
      </c>
      <c r="G2" s="128">
        <f>+ROW(pictures.talent1[[#This Row],[Talent]])</f>
        <v>2</v>
      </c>
      <c r="H2" s="128" t="s">
        <v>168</v>
      </c>
      <c r="I2" s="128" t="str">
        <f>+D2&amp;E2&amp;F2&amp;G2&amp;H2</f>
        <v>&lt;definedName name="talent1.berserk"&gt;'pictures-talent1'!$B$2&lt;/definedName&gt;</v>
      </c>
    </row>
    <row r="3" spans="1:9" ht="28.35" customHeight="1" x14ac:dyDescent="0.25">
      <c r="A3" s="132" t="s">
        <v>13</v>
      </c>
      <c r="D3" s="128" t="s">
        <v>167</v>
      </c>
      <c r="E3" s="128" t="str">
        <f>+"talent1."&amp;SUBSTITUTE(SUBSTITUTE(SUBSTITUTE(LOWER(pictures.talent1[[#This Row],[Talent]])," ",""),"-",""),"'","")</f>
        <v>talent1.bladeshell</v>
      </c>
      <c r="F3" s="128" t="s">
        <v>179</v>
      </c>
      <c r="G3" s="128">
        <f>+ROW(pictures.talent1[[#This Row],[Talent]])</f>
        <v>3</v>
      </c>
      <c r="H3" s="128" t="s">
        <v>168</v>
      </c>
      <c r="I3" s="128" t="str">
        <f t="shared" ref="I3:I23" si="0">+D3&amp;E3&amp;F3&amp;G3&amp;H3</f>
        <v>&lt;definedName name="talent1.bladeshell"&gt;'pictures-talent1'!$B$3&lt;/definedName&gt;</v>
      </c>
    </row>
    <row r="4" spans="1:9" ht="28.35" customHeight="1" x14ac:dyDescent="0.25">
      <c r="A4" s="132" t="s">
        <v>16</v>
      </c>
      <c r="D4" s="128" t="s">
        <v>167</v>
      </c>
      <c r="E4" s="128" t="str">
        <f>+"talent1."&amp;SUBSTITUTE(SUBSTITUTE(SUBSTITUTE(LOWER(pictures.talent1[[#This Row],[Talent]])," ",""),"-",""),"'","")</f>
        <v>talent1.bulwark</v>
      </c>
      <c r="F4" s="128" t="s">
        <v>179</v>
      </c>
      <c r="G4" s="128">
        <f>+ROW(pictures.talent1[[#This Row],[Talent]])</f>
        <v>4</v>
      </c>
      <c r="H4" s="128" t="s">
        <v>168</v>
      </c>
      <c r="I4" s="128" t="str">
        <f t="shared" si="0"/>
        <v>&lt;definedName name="talent1.bulwark"&gt;'pictures-talent1'!$B$4&lt;/definedName&gt;</v>
      </c>
    </row>
    <row r="5" spans="1:9" ht="28.35" customHeight="1" x14ac:dyDescent="0.25">
      <c r="A5" s="132" t="s">
        <v>18</v>
      </c>
      <c r="D5" s="128" t="s">
        <v>167</v>
      </c>
      <c r="E5" s="128" t="str">
        <f>+"talent1."&amp;SUBSTITUTE(SUBSTITUTE(SUBSTITUTE(LOWER(pictures.talent1[[#This Row],[Talent]])," ",""),"-",""),"'","")</f>
        <v>talent1.condemnation</v>
      </c>
      <c r="F5" s="128" t="s">
        <v>179</v>
      </c>
      <c r="G5" s="128">
        <f>+ROW(pictures.talent1[[#This Row],[Talent]])</f>
        <v>5</v>
      </c>
      <c r="H5" s="128" t="s">
        <v>168</v>
      </c>
      <c r="I5" s="128" t="str">
        <f t="shared" si="0"/>
        <v>&lt;definedName name="talent1.condemnation"&gt;'pictures-talent1'!$B$5&lt;/definedName&gt;</v>
      </c>
    </row>
    <row r="6" spans="1:9" ht="28.35" customHeight="1" x14ac:dyDescent="0.25">
      <c r="A6" s="132" t="s">
        <v>20</v>
      </c>
      <c r="D6" s="128" t="s">
        <v>167</v>
      </c>
      <c r="E6" s="128" t="str">
        <f>+"talent1."&amp;SUBSTITUTE(SUBSTITUTE(SUBSTITUTE(LOWER(pictures.talent1[[#This Row],[Talent]])," ",""),"-",""),"'","")</f>
        <v>talent1.corrode</v>
      </c>
      <c r="F6" s="128" t="s">
        <v>179</v>
      </c>
      <c r="G6" s="128">
        <f>+ROW(pictures.talent1[[#This Row],[Talent]])</f>
        <v>6</v>
      </c>
      <c r="H6" s="128" t="s">
        <v>168</v>
      </c>
      <c r="I6" s="128" t="str">
        <f t="shared" si="0"/>
        <v>&lt;definedName name="talent1.corrode"&gt;'pictures-talent1'!$B$6&lt;/definedName&gt;</v>
      </c>
    </row>
    <row r="7" spans="1:9" ht="28.35" customHeight="1" x14ac:dyDescent="0.25">
      <c r="A7" s="132" t="s">
        <v>22</v>
      </c>
      <c r="D7" s="128" t="s">
        <v>167</v>
      </c>
      <c r="E7" s="128" t="str">
        <f>+"talent1."&amp;SUBSTITUTE(SUBSTITUTE(SUBSTITUTE(LOWER(pictures.talent1[[#This Row],[Talent]])," ",""),"-",""),"'","")</f>
        <v>talent1.deadlystrike</v>
      </c>
      <c r="F7" s="128" t="s">
        <v>179</v>
      </c>
      <c r="G7" s="128">
        <f>+ROW(pictures.talent1[[#This Row],[Talent]])</f>
        <v>7</v>
      </c>
      <c r="H7" s="128" t="s">
        <v>168</v>
      </c>
      <c r="I7" s="128" t="str">
        <f t="shared" si="0"/>
        <v>&lt;definedName name="talent1.deadlystrike"&gt;'pictures-talent1'!$B$7&lt;/definedName&gt;</v>
      </c>
    </row>
    <row r="8" spans="1:9" ht="28.35" customHeight="1" x14ac:dyDescent="0.25">
      <c r="A8" s="132" t="s">
        <v>24</v>
      </c>
      <c r="D8" s="128" t="s">
        <v>167</v>
      </c>
      <c r="E8" s="128" t="str">
        <f>+"talent1."&amp;SUBSTITUTE(SUBSTITUTE(SUBSTITUTE(LOWER(pictures.talent1[[#This Row],[Talent]])," ",""),"-",""),"'","")</f>
        <v>talent1.enlighten</v>
      </c>
      <c r="F8" s="128" t="s">
        <v>179</v>
      </c>
      <c r="G8" s="128">
        <f>+ROW(pictures.talent1[[#This Row],[Talent]])</f>
        <v>8</v>
      </c>
      <c r="H8" s="128" t="s">
        <v>168</v>
      </c>
      <c r="I8" s="128" t="str">
        <f t="shared" si="0"/>
        <v>&lt;definedName name="talent1.enlighten"&gt;'pictures-talent1'!$B$8&lt;/definedName&gt;</v>
      </c>
    </row>
    <row r="9" spans="1:9" ht="28.35" customHeight="1" x14ac:dyDescent="0.25">
      <c r="A9" s="132" t="s">
        <v>26</v>
      </c>
      <c r="D9" s="128" t="s">
        <v>167</v>
      </c>
      <c r="E9" s="128" t="str">
        <f>+"talent1."&amp;SUBSTITUTE(SUBSTITUTE(SUBSTITUTE(LOWER(pictures.talent1[[#This Row],[Talent]])," ",""),"-",""),"'","")</f>
        <v>talent1.flameguard</v>
      </c>
      <c r="F9" s="128" t="s">
        <v>179</v>
      </c>
      <c r="G9" s="128">
        <f>+ROW(pictures.talent1[[#This Row],[Talent]])</f>
        <v>9</v>
      </c>
      <c r="H9" s="128" t="s">
        <v>168</v>
      </c>
      <c r="I9" s="128" t="str">
        <f t="shared" si="0"/>
        <v>&lt;definedName name="talent1.flameguard"&gt;'pictures-talent1'!$B$9&lt;/definedName&gt;</v>
      </c>
    </row>
    <row r="10" spans="1:9" ht="28.35" customHeight="1" x14ac:dyDescent="0.25">
      <c r="A10" s="132" t="s">
        <v>28</v>
      </c>
      <c r="D10" s="128" t="s">
        <v>167</v>
      </c>
      <c r="E10" s="128" t="str">
        <f>+"talent1."&amp;SUBSTITUTE(SUBSTITUTE(SUBSTITUTE(LOWER(pictures.talent1[[#This Row],[Talent]])," ",""),"-",""),"'","")</f>
        <v>talent1.heavenswrath</v>
      </c>
      <c r="F10" s="128" t="s">
        <v>179</v>
      </c>
      <c r="G10" s="128">
        <f>+ROW(pictures.talent1[[#This Row],[Talent]])</f>
        <v>10</v>
      </c>
      <c r="H10" s="128" t="s">
        <v>168</v>
      </c>
      <c r="I10" s="128" t="str">
        <f t="shared" si="0"/>
        <v>&lt;definedName name="talent1.heavenswrath"&gt;'pictures-talent1'!$B$10&lt;/definedName&gt;</v>
      </c>
    </row>
    <row r="11" spans="1:9" ht="28.35" customHeight="1" x14ac:dyDescent="0.25">
      <c r="A11" s="132" t="s">
        <v>30</v>
      </c>
      <c r="D11" s="128" t="s">
        <v>167</v>
      </c>
      <c r="E11" s="128" t="str">
        <f>+"talent1."&amp;SUBSTITUTE(SUBSTITUTE(SUBSTITUTE(LOWER(pictures.talent1[[#This Row],[Talent]])," ",""),"-",""),"'","")</f>
        <v>talent1.heavyblow</v>
      </c>
      <c r="F11" s="128" t="s">
        <v>179</v>
      </c>
      <c r="G11" s="128">
        <f>+ROW(pictures.talent1[[#This Row],[Talent]])</f>
        <v>11</v>
      </c>
      <c r="H11" s="128" t="s">
        <v>168</v>
      </c>
      <c r="I11" s="128" t="str">
        <f t="shared" si="0"/>
        <v>&lt;definedName name="talent1.heavyblow"&gt;'pictures-talent1'!$B$11&lt;/definedName&gt;</v>
      </c>
    </row>
    <row r="12" spans="1:9" ht="28.35" customHeight="1" x14ac:dyDescent="0.25">
      <c r="A12" s="132" t="s">
        <v>32</v>
      </c>
      <c r="D12" s="128" t="s">
        <v>167</v>
      </c>
      <c r="E12" s="128" t="str">
        <f>+"talent1."&amp;SUBSTITUTE(SUBSTITUTE(SUBSTITUTE(LOWER(pictures.talent1[[#This Row],[Talent]])," ",""),"-",""),"'","")</f>
        <v>talent1.lifedrain</v>
      </c>
      <c r="F12" s="128" t="s">
        <v>179</v>
      </c>
      <c r="G12" s="128">
        <f>+ROW(pictures.talent1[[#This Row],[Talent]])</f>
        <v>12</v>
      </c>
      <c r="H12" s="128" t="s">
        <v>168</v>
      </c>
      <c r="I12" s="128" t="str">
        <f t="shared" si="0"/>
        <v>&lt;definedName name="talent1.lifedrain"&gt;'pictures-talent1'!$B$12&lt;/definedName&gt;</v>
      </c>
    </row>
    <row r="13" spans="1:9" ht="28.35" customHeight="1" x14ac:dyDescent="0.25">
      <c r="A13" s="132" t="s">
        <v>36</v>
      </c>
      <c r="D13" s="128" t="s">
        <v>167</v>
      </c>
      <c r="E13" s="128" t="str">
        <f>+"talent1."&amp;SUBSTITUTE(SUBSTITUTE(SUBSTITUTE(LOWER(pictures.talent1[[#This Row],[Talent]])," ",""),"-",""),"'","")</f>
        <v>talent1.revitalize</v>
      </c>
      <c r="F13" s="128" t="s">
        <v>179</v>
      </c>
      <c r="G13" s="128">
        <f>+ROW(pictures.talent1[[#This Row],[Talent]])</f>
        <v>13</v>
      </c>
      <c r="H13" s="128" t="s">
        <v>168</v>
      </c>
      <c r="I13" s="128" t="str">
        <f t="shared" si="0"/>
        <v>&lt;definedName name="talent1.revitalize"&gt;'pictures-talent1'!$B$13&lt;/definedName&gt;</v>
      </c>
    </row>
    <row r="14" spans="1:9" ht="28.35" customHeight="1" x14ac:dyDescent="0.25">
      <c r="A14" s="132" t="s">
        <v>38</v>
      </c>
      <c r="D14" s="128" t="s">
        <v>167</v>
      </c>
      <c r="E14" s="128" t="str">
        <f>+"talent1."&amp;SUBSTITUTE(SUBSTITUTE(SUBSTITUTE(LOWER(pictures.talent1[[#This Row],[Talent]])," ",""),"-",""),"'","")</f>
        <v>talent1.revive</v>
      </c>
      <c r="F14" s="128" t="s">
        <v>179</v>
      </c>
      <c r="G14" s="128">
        <f>+ROW(pictures.talent1[[#This Row],[Talent]])</f>
        <v>14</v>
      </c>
      <c r="H14" s="128" t="s">
        <v>168</v>
      </c>
      <c r="I14" s="128" t="str">
        <f t="shared" si="0"/>
        <v>&lt;definedName name="talent1.revive"&gt;'pictures-talent1'!$B$14&lt;/definedName&gt;</v>
      </c>
    </row>
    <row r="15" spans="1:9" ht="28.35" customHeight="1" x14ac:dyDescent="0.25">
      <c r="A15" s="132" t="s">
        <v>40</v>
      </c>
      <c r="D15" s="128" t="s">
        <v>167</v>
      </c>
      <c r="E15" s="128" t="str">
        <f>+"talent1."&amp;SUBSTITUTE(SUBSTITUTE(SUBSTITUTE(LOWER(pictures.talent1[[#This Row],[Talent]])," ",""),"-",""),"'","")</f>
        <v>talent1.scatter</v>
      </c>
      <c r="F15" s="128" t="s">
        <v>179</v>
      </c>
      <c r="G15" s="128">
        <f>+ROW(pictures.talent1[[#This Row],[Talent]])</f>
        <v>15</v>
      </c>
      <c r="H15" s="128" t="s">
        <v>168</v>
      </c>
      <c r="I15" s="128" t="str">
        <f t="shared" si="0"/>
        <v>&lt;definedName name="talent1.scatter"&gt;'pictures-talent1'!$B$15&lt;/definedName&gt;</v>
      </c>
    </row>
    <row r="16" spans="1:9" ht="28.35" customHeight="1" x14ac:dyDescent="0.25">
      <c r="A16" s="132" t="s">
        <v>42</v>
      </c>
      <c r="D16" s="128" t="s">
        <v>167</v>
      </c>
      <c r="E16" s="128" t="str">
        <f>+"talent1."&amp;SUBSTITUTE(SUBSTITUTE(SUBSTITUTE(LOWER(pictures.talent1[[#This Row],[Talent]])," ",""),"-",""),"'","")</f>
        <v>talent1.scorch</v>
      </c>
      <c r="F16" s="128" t="s">
        <v>179</v>
      </c>
      <c r="G16" s="128">
        <f>+ROW(pictures.talent1[[#This Row],[Talent]])</f>
        <v>16</v>
      </c>
      <c r="H16" s="128" t="s">
        <v>168</v>
      </c>
      <c r="I16" s="128" t="str">
        <f t="shared" si="0"/>
        <v>&lt;definedName name="talent1.scorch"&gt;'pictures-talent1'!$B$16&lt;/definedName&gt;</v>
      </c>
    </row>
    <row r="17" spans="1:9" ht="28.35" customHeight="1" x14ac:dyDescent="0.25">
      <c r="A17" s="132" t="s">
        <v>44</v>
      </c>
      <c r="D17" s="128" t="s">
        <v>167</v>
      </c>
      <c r="E17" s="128" t="str">
        <f>+"talent1."&amp;SUBSTITUTE(SUBSTITUTE(SUBSTITUTE(LOWER(pictures.talent1[[#This Row],[Talent]])," ",""),"-",""),"'","")</f>
        <v>talent1.selfdestruct</v>
      </c>
      <c r="F17" s="128" t="s">
        <v>179</v>
      </c>
      <c r="G17" s="128">
        <f>+ROW(pictures.talent1[[#This Row],[Talent]])</f>
        <v>17</v>
      </c>
      <c r="H17" s="128" t="s">
        <v>168</v>
      </c>
      <c r="I17" s="128" t="str">
        <f t="shared" si="0"/>
        <v>&lt;definedName name="talent1.selfdestruct"&gt;'pictures-talent1'!$B$17&lt;/definedName&gt;</v>
      </c>
    </row>
    <row r="18" spans="1:9" ht="28.35" customHeight="1" x14ac:dyDescent="0.25">
      <c r="A18" s="132" t="s">
        <v>46</v>
      </c>
      <c r="D18" s="128" t="s">
        <v>167</v>
      </c>
      <c r="E18" s="128" t="str">
        <f>+"talent1."&amp;SUBSTITUTE(SUBSTITUTE(SUBSTITUTE(LOWER(pictures.talent1[[#This Row],[Talent]])," ",""),"-",""),"'","")</f>
        <v>talent1.slowdown</v>
      </c>
      <c r="F18" s="128" t="s">
        <v>179</v>
      </c>
      <c r="G18" s="128">
        <f>+ROW(pictures.talent1[[#This Row],[Talent]])</f>
        <v>18</v>
      </c>
      <c r="H18" s="128" t="s">
        <v>168</v>
      </c>
      <c r="I18" s="128" t="str">
        <f t="shared" si="0"/>
        <v>&lt;definedName name="talent1.slowdown"&gt;'pictures-talent1'!$B$18&lt;/definedName&gt;</v>
      </c>
    </row>
    <row r="19" spans="1:9" ht="28.35" customHeight="1" x14ac:dyDescent="0.25">
      <c r="A19" s="132" t="s">
        <v>48</v>
      </c>
      <c r="D19" s="128" t="s">
        <v>167</v>
      </c>
      <c r="E19" s="128" t="str">
        <f>+"talent1."&amp;SUBSTITUTE(SUBSTITUTE(SUBSTITUTE(LOWER(pictures.talent1[[#This Row],[Talent]])," ",""),"-",""),"'","")</f>
        <v>talent1.sprint</v>
      </c>
      <c r="F19" s="128" t="s">
        <v>179</v>
      </c>
      <c r="G19" s="128">
        <f>+ROW(pictures.talent1[[#This Row],[Talent]])</f>
        <v>19</v>
      </c>
      <c r="H19" s="128" t="s">
        <v>168</v>
      </c>
      <c r="I19" s="128" t="str">
        <f t="shared" si="0"/>
        <v>&lt;definedName name="talent1.sprint"&gt;'pictures-talent1'!$B$19&lt;/definedName&gt;</v>
      </c>
    </row>
    <row r="20" spans="1:9" ht="28.35" customHeight="1" x14ac:dyDescent="0.25">
      <c r="A20" s="132" t="s">
        <v>50</v>
      </c>
      <c r="D20" s="128" t="s">
        <v>167</v>
      </c>
      <c r="E20" s="128" t="str">
        <f>+"talent1."&amp;SUBSTITUTE(SUBSTITUTE(SUBSTITUTE(LOWER(pictures.talent1[[#This Row],[Talent]])," ",""),"-",""),"'","")</f>
        <v>talent1.stoneskin</v>
      </c>
      <c r="F20" s="128" t="s">
        <v>179</v>
      </c>
      <c r="G20" s="128">
        <f>+ROW(pictures.talent1[[#This Row],[Talent]])</f>
        <v>20</v>
      </c>
      <c r="H20" s="128" t="s">
        <v>168</v>
      </c>
      <c r="I20" s="128" t="str">
        <f t="shared" si="0"/>
        <v>&lt;definedName name="talent1.stoneskin"&gt;'pictures-talent1'!$B$20&lt;/definedName&gt;</v>
      </c>
    </row>
    <row r="21" spans="1:9" ht="28.35" customHeight="1" x14ac:dyDescent="0.25">
      <c r="A21" s="132" t="s">
        <v>52</v>
      </c>
      <c r="D21" s="128" t="s">
        <v>167</v>
      </c>
      <c r="E21" s="128" t="str">
        <f>+"talent1."&amp;SUBSTITUTE(SUBSTITUTE(SUBSTITUTE(LOWER(pictures.talent1[[#This Row],[Talent]])," ",""),"-",""),"'","")</f>
        <v>talent1.tenacity</v>
      </c>
      <c r="F21" s="128" t="s">
        <v>179</v>
      </c>
      <c r="G21" s="128">
        <f>+ROW(pictures.talent1[[#This Row],[Talent]])</f>
        <v>21</v>
      </c>
      <c r="H21" s="128" t="s">
        <v>168</v>
      </c>
      <c r="I21" s="128" t="str">
        <f t="shared" si="0"/>
        <v>&lt;definedName name="talent1.tenacity"&gt;'pictures-talent1'!$B$21&lt;/definedName&gt;</v>
      </c>
    </row>
    <row r="22" spans="1:9" ht="28.35" customHeight="1" x14ac:dyDescent="0.25">
      <c r="A22" s="132" t="s">
        <v>54</v>
      </c>
      <c r="D22" s="128" t="s">
        <v>167</v>
      </c>
      <c r="E22" s="128" t="str">
        <f>+"talent1."&amp;SUBSTITUTE(SUBSTITUTE(SUBSTITUTE(LOWER(pictures.talent1[[#This Row],[Talent]])," ",""),"-",""),"'","")</f>
        <v>talent1.wargod</v>
      </c>
      <c r="F22" s="128" t="s">
        <v>179</v>
      </c>
      <c r="G22" s="128">
        <f>+ROW(pictures.talent1[[#This Row],[Talent]])</f>
        <v>22</v>
      </c>
      <c r="H22" s="128" t="s">
        <v>168</v>
      </c>
      <c r="I22" s="128" t="str">
        <f t="shared" si="0"/>
        <v>&lt;definedName name="talent1.wargod"&gt;'pictures-talent1'!$B$22&lt;/definedName&gt;</v>
      </c>
    </row>
    <row r="23" spans="1:9" ht="28.35" customHeight="1" x14ac:dyDescent="0.25">
      <c r="A23" s="128" t="s">
        <v>169</v>
      </c>
      <c r="D23" s="128" t="s">
        <v>167</v>
      </c>
      <c r="E23" s="128" t="str">
        <f>+"talent1."&amp;SUBSTITUTE(SUBSTITUTE(SUBSTITUTE(LOWER(pictures.talent1[[#This Row],[Talent]])," ",""),"-",""),"'","")</f>
        <v>talent1.empty</v>
      </c>
      <c r="F23" s="128" t="s">
        <v>179</v>
      </c>
      <c r="G23" s="128">
        <f>+ROW(pictures.talent1[[#This Row],[Talent]])</f>
        <v>23</v>
      </c>
      <c r="H23" s="128" t="s">
        <v>168</v>
      </c>
      <c r="I23" s="128" t="str">
        <f t="shared" si="0"/>
        <v>&lt;definedName name="talent1.empty"&gt;'pictures-talent1'!$B$23&lt;/definedName&gt;</v>
      </c>
    </row>
    <row r="24" spans="1:9" ht="29.1" customHeight="1" x14ac:dyDescent="0.25">
      <c r="A24" s="135" t="s">
        <v>111</v>
      </c>
      <c r="B24" s="134"/>
    </row>
    <row r="25" spans="1:9" ht="29.1" customHeight="1" x14ac:dyDescent="0.25"/>
    <row r="26" spans="1:9" ht="29.1" customHeight="1" x14ac:dyDescent="0.25"/>
    <row r="27" spans="1:9" ht="29.1" customHeight="1" x14ac:dyDescent="0.25"/>
    <row r="28" spans="1:9" ht="29.1" customHeight="1" x14ac:dyDescent="0.25"/>
    <row r="29" spans="1:9" ht="29.1" customHeight="1" x14ac:dyDescent="0.25"/>
    <row r="30" spans="1:9" ht="29.1" customHeight="1" x14ac:dyDescent="0.25"/>
    <row r="31" spans="1:9" ht="29.1" customHeight="1" x14ac:dyDescent="0.25"/>
    <row r="32" spans="1:9" ht="29.1" customHeight="1" x14ac:dyDescent="0.25"/>
    <row r="33" ht="29.1" customHeight="1" x14ac:dyDescent="0.25"/>
    <row r="34" ht="29.1" customHeight="1" x14ac:dyDescent="0.25"/>
    <row r="35" ht="29.1" customHeight="1" x14ac:dyDescent="0.25"/>
    <row r="36" ht="29.1" customHeight="1" x14ac:dyDescent="0.25"/>
    <row r="37" ht="29.1" customHeight="1" x14ac:dyDescent="0.25"/>
    <row r="38" ht="29.1" customHeight="1" x14ac:dyDescent="0.25"/>
    <row r="39" ht="29.1" customHeight="1" x14ac:dyDescent="0.25"/>
    <row r="40" ht="29.1" customHeight="1" x14ac:dyDescent="0.25"/>
    <row r="41" ht="29.1" customHeight="1" x14ac:dyDescent="0.25"/>
    <row r="42" ht="29.1" customHeight="1" x14ac:dyDescent="0.25"/>
    <row r="43" ht="29.1" customHeight="1" x14ac:dyDescent="0.25"/>
    <row r="44" ht="29.1" customHeight="1" x14ac:dyDescent="0.25"/>
    <row r="45" ht="29.1" customHeight="1" x14ac:dyDescent="0.25"/>
    <row r="46" ht="29.1" customHeight="1" x14ac:dyDescent="0.25"/>
    <row r="47" ht="29.1" customHeight="1" x14ac:dyDescent="0.25"/>
    <row r="48" ht="29.1" customHeight="1" x14ac:dyDescent="0.25"/>
    <row r="49" ht="29.1" customHeight="1" x14ac:dyDescent="0.25"/>
    <row r="50" ht="29.1" customHeight="1" x14ac:dyDescent="0.25"/>
    <row r="51" ht="29.1" customHeight="1" x14ac:dyDescent="0.25"/>
    <row r="52" ht="29.1" customHeight="1" x14ac:dyDescent="0.25"/>
    <row r="53" ht="29.1" customHeight="1" x14ac:dyDescent="0.25"/>
    <row r="54" ht="29.1" customHeight="1" x14ac:dyDescent="0.25"/>
    <row r="55" ht="29.1" customHeight="1" x14ac:dyDescent="0.25"/>
    <row r="56" ht="29.1" customHeight="1" x14ac:dyDescent="0.25"/>
    <row r="57" ht="29.1" customHeight="1" x14ac:dyDescent="0.25"/>
    <row r="58" ht="29.1" customHeight="1" x14ac:dyDescent="0.25"/>
    <row r="59" ht="29.1" customHeight="1" x14ac:dyDescent="0.25"/>
    <row r="60" ht="29.1" customHeight="1" x14ac:dyDescent="0.25"/>
    <row r="61" ht="29.1" customHeight="1" x14ac:dyDescent="0.25"/>
  </sheetData>
  <sortState ref="A2:A22">
    <sortCondition ref="A2"/>
  </sortState>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17"/>
  <sheetViews>
    <sheetView workbookViewId="0"/>
  </sheetViews>
  <sheetFormatPr defaultRowHeight="15" x14ac:dyDescent="0.25"/>
  <cols>
    <col min="1" max="1" width="20.7109375" style="128" customWidth="1"/>
    <col min="2" max="2" width="5.42578125" style="128" customWidth="1"/>
    <col min="3" max="4" width="9.140625" style="128"/>
    <col min="5" max="10" width="0" style="128" hidden="1" customWidth="1"/>
    <col min="11" max="16384" width="9.140625" style="128"/>
  </cols>
  <sheetData>
    <row r="1" spans="1:10" x14ac:dyDescent="0.25">
      <c r="A1" s="126" t="s">
        <v>4</v>
      </c>
      <c r="B1" s="127" t="s">
        <v>164</v>
      </c>
      <c r="C1" s="127" t="s">
        <v>166</v>
      </c>
    </row>
    <row r="2" spans="1:10" ht="28.35" customHeight="1" x14ac:dyDescent="0.25">
      <c r="A2" s="129" t="s">
        <v>17</v>
      </c>
      <c r="B2" s="126"/>
      <c r="C2" s="130" t="s">
        <v>158</v>
      </c>
      <c r="E2" s="128" t="s">
        <v>167</v>
      </c>
      <c r="F2" s="128" t="str">
        <f>+"talent2."&amp;SUBSTITUTE(SUBSTITUTE(LOWER(pictures.talent2[[#This Row],[Hero]])," ",""),"-","")</f>
        <v>talent2.arctica</v>
      </c>
      <c r="G2" s="128" t="s">
        <v>180</v>
      </c>
      <c r="H2" s="128">
        <f>+ROW(pictures.talent2[[#This Row],[Hero]])</f>
        <v>2</v>
      </c>
      <c r="I2" s="128" t="s">
        <v>168</v>
      </c>
      <c r="J2" s="128" t="str">
        <f>+E2&amp;F2&amp;G2&amp;H2&amp;I2</f>
        <v>&lt;definedName name="talent2.arctica"&gt;'pictures-talent2'!$B$2&lt;/definedName&gt;</v>
      </c>
    </row>
    <row r="3" spans="1:10" ht="28.35" customHeight="1" x14ac:dyDescent="0.25">
      <c r="A3" s="129" t="s">
        <v>25</v>
      </c>
      <c r="B3" s="126"/>
      <c r="C3" s="130" t="s">
        <v>159</v>
      </c>
      <c r="E3" s="128" t="s">
        <v>167</v>
      </c>
      <c r="F3" s="128" t="str">
        <f>+"talent2."&amp;SUBSTITUTE(SUBSTITUTE(LOWER(pictures.talent2[[#This Row],[Hero]])," ",""),"-","")</f>
        <v>talent2.beasttamer</v>
      </c>
      <c r="G3" s="128" t="s">
        <v>180</v>
      </c>
      <c r="H3" s="128">
        <f>+ROW(pictures.talent2[[#This Row],[Hero]])</f>
        <v>3</v>
      </c>
      <c r="I3" s="128" t="s">
        <v>168</v>
      </c>
      <c r="J3" s="128" t="str">
        <f t="shared" ref="J3:J15" si="0">+E3&amp;F3&amp;G3&amp;H3&amp;I3</f>
        <v>&lt;definedName name="talent2.beasttamer"&gt;'pictures-talent2'!$B$3&lt;/definedName&gt;</v>
      </c>
    </row>
    <row r="4" spans="1:10" ht="28.35" customHeight="1" x14ac:dyDescent="0.25">
      <c r="A4" s="129" t="s">
        <v>27</v>
      </c>
      <c r="B4" s="126"/>
      <c r="C4" s="130" t="s">
        <v>159</v>
      </c>
      <c r="E4" s="128" t="s">
        <v>167</v>
      </c>
      <c r="F4" s="128" t="str">
        <f>+"talent2."&amp;SUBSTITUTE(SUBSTITUTE(LOWER(pictures.talent2[[#This Row],[Hero]])," ",""),"-","")</f>
        <v>talent2.candykane</v>
      </c>
      <c r="G4" s="128" t="s">
        <v>180</v>
      </c>
      <c r="H4" s="128">
        <f>+ROW(pictures.talent2[[#This Row],[Hero]])</f>
        <v>4</v>
      </c>
      <c r="I4" s="128" t="s">
        <v>168</v>
      </c>
      <c r="J4" s="128" t="str">
        <f t="shared" si="0"/>
        <v>&lt;definedName name="talent2.candykane"&gt;'pictures-talent2'!$B$4&lt;/definedName&gt;</v>
      </c>
    </row>
    <row r="5" spans="1:10" ht="28.35" customHeight="1" x14ac:dyDescent="0.25">
      <c r="A5" s="129" t="s">
        <v>35</v>
      </c>
      <c r="B5" s="126"/>
      <c r="C5" s="130" t="s">
        <v>160</v>
      </c>
      <c r="E5" s="128" t="s">
        <v>167</v>
      </c>
      <c r="F5" s="128" t="str">
        <f>+"talent2."&amp;SUBSTITUTE(SUBSTITUTE(LOWER(pictures.talent2[[#This Row],[Hero]])," ",""),"-","")</f>
        <v>talent2.deathknight</v>
      </c>
      <c r="G5" s="128" t="s">
        <v>180</v>
      </c>
      <c r="H5" s="128">
        <f>+ROW(pictures.talent2[[#This Row],[Hero]])</f>
        <v>5</v>
      </c>
      <c r="I5" s="128" t="s">
        <v>168</v>
      </c>
      <c r="J5" s="128" t="str">
        <f t="shared" si="0"/>
        <v>&lt;definedName name="talent2.deathknight"&gt;'pictures-talent2'!$B$5&lt;/definedName&gt;</v>
      </c>
    </row>
    <row r="6" spans="1:10" ht="28.35" customHeight="1" x14ac:dyDescent="0.25">
      <c r="A6" s="129" t="s">
        <v>39</v>
      </c>
      <c r="B6" s="126"/>
      <c r="C6" s="130" t="s">
        <v>160</v>
      </c>
      <c r="E6" s="128" t="s">
        <v>167</v>
      </c>
      <c r="F6" s="128" t="str">
        <f>+"talent2."&amp;SUBSTITUTE(SUBSTITUTE(LOWER(pictures.talent2[[#This Row],[Hero]])," ",""),"-","")</f>
        <v>talent2.destroyer</v>
      </c>
      <c r="G6" s="128" t="s">
        <v>180</v>
      </c>
      <c r="H6" s="128">
        <f>+ROW(pictures.talent2[[#This Row],[Hero]])</f>
        <v>6</v>
      </c>
      <c r="I6" s="128" t="s">
        <v>168</v>
      </c>
      <c r="J6" s="128" t="str">
        <f t="shared" si="0"/>
        <v>&lt;definedName name="talent2.destroyer"&gt;'pictures-talent2'!$B$6&lt;/definedName&gt;</v>
      </c>
    </row>
    <row r="7" spans="1:10" ht="28.35" customHeight="1" x14ac:dyDescent="0.25">
      <c r="A7" s="129" t="s">
        <v>41</v>
      </c>
      <c r="B7" s="126"/>
      <c r="C7" s="130" t="s">
        <v>159</v>
      </c>
      <c r="E7" s="128" t="s">
        <v>167</v>
      </c>
      <c r="F7" s="128" t="str">
        <f>+"talent2."&amp;SUBSTITUTE(SUBSTITUTE(LOWER(pictures.talent2[[#This Row],[Hero]])," ",""),"-","")</f>
        <v>talent2.dracax</v>
      </c>
      <c r="G7" s="128" t="s">
        <v>180</v>
      </c>
      <c r="H7" s="128">
        <f>+ROW(pictures.talent2[[#This Row],[Hero]])</f>
        <v>7</v>
      </c>
      <c r="I7" s="128" t="s">
        <v>168</v>
      </c>
      <c r="J7" s="128" t="str">
        <f t="shared" si="0"/>
        <v>&lt;definedName name="talent2.dracax"&gt;'pictures-talent2'!$B$7&lt;/definedName&gt;</v>
      </c>
    </row>
    <row r="8" spans="1:10" ht="28.35" customHeight="1" x14ac:dyDescent="0.25">
      <c r="A8" s="129" t="s">
        <v>43</v>
      </c>
      <c r="B8" s="126"/>
      <c r="C8" s="130" t="s">
        <v>158</v>
      </c>
      <c r="E8" s="128" t="s">
        <v>167</v>
      </c>
      <c r="F8" s="128" t="str">
        <f>+"talent2."&amp;SUBSTITUTE(SUBSTITUTE(LOWER(pictures.talent2[[#This Row],[Hero]])," ",""),"-","")</f>
        <v>talent2.dreaddrake</v>
      </c>
      <c r="G8" s="128" t="s">
        <v>180</v>
      </c>
      <c r="H8" s="128">
        <f>+ROW(pictures.talent2[[#This Row],[Hero]])</f>
        <v>8</v>
      </c>
      <c r="I8" s="128" t="s">
        <v>168</v>
      </c>
      <c r="J8" s="128" t="str">
        <f t="shared" si="0"/>
        <v>&lt;definedName name="talent2.dreaddrake"&gt;'pictures-talent2'!$B$8&lt;/definedName&gt;</v>
      </c>
    </row>
    <row r="9" spans="1:10" ht="28.35" customHeight="1" x14ac:dyDescent="0.25">
      <c r="A9" s="129" t="s">
        <v>56</v>
      </c>
      <c r="B9" s="126"/>
      <c r="C9" s="130" t="s">
        <v>159</v>
      </c>
      <c r="E9" s="128" t="s">
        <v>167</v>
      </c>
      <c r="F9" s="128" t="str">
        <f>+"talent2."&amp;SUBSTITUTE(SUBSTITUTE(LOWER(pictures.talent2[[#This Row],[Hero]])," ",""),"-","")</f>
        <v>talent2.grimfiend</v>
      </c>
      <c r="G9" s="128" t="s">
        <v>180</v>
      </c>
      <c r="H9" s="128">
        <f>+ROW(pictures.talent2[[#This Row],[Hero]])</f>
        <v>9</v>
      </c>
      <c r="I9" s="128" t="s">
        <v>168</v>
      </c>
      <c r="J9" s="128" t="str">
        <f t="shared" si="0"/>
        <v>&lt;definedName name="talent2.grimfiend"&gt;'pictures-talent2'!$B$9&lt;/definedName&gt;</v>
      </c>
    </row>
    <row r="10" spans="1:10" ht="28.35" customHeight="1" x14ac:dyDescent="0.25">
      <c r="A10" s="129" t="s">
        <v>58</v>
      </c>
      <c r="B10" s="126"/>
      <c r="C10" s="130" t="s">
        <v>158</v>
      </c>
      <c r="E10" s="128" t="s">
        <v>167</v>
      </c>
      <c r="F10" s="128" t="str">
        <f>+"talent2."&amp;SUBSTITUTE(SUBSTITUTE(LOWER(pictures.talent2[[#This Row],[Hero]])," ",""),"-","")</f>
        <v>talent2.harpyqueen</v>
      </c>
      <c r="G10" s="128" t="s">
        <v>180</v>
      </c>
      <c r="H10" s="128">
        <f>+ROW(pictures.talent2[[#This Row],[Hero]])</f>
        <v>10</v>
      </c>
      <c r="I10" s="128" t="s">
        <v>168</v>
      </c>
      <c r="J10" s="128" t="str">
        <f t="shared" si="0"/>
        <v>&lt;definedName name="talent2.harpyqueen"&gt;'pictures-talent2'!$B$10&lt;/definedName&gt;</v>
      </c>
    </row>
    <row r="11" spans="1:10" ht="28.35" customHeight="1" x14ac:dyDescent="0.25">
      <c r="A11" s="129" t="s">
        <v>63</v>
      </c>
      <c r="B11" s="126"/>
      <c r="C11" s="130" t="s">
        <v>159</v>
      </c>
      <c r="E11" s="128" t="s">
        <v>167</v>
      </c>
      <c r="F11" s="128" t="str">
        <f>+"talent2."&amp;SUBSTITUTE(SUBSTITUTE(LOWER(pictures.talent2[[#This Row],[Hero]])," ",""),"-","")</f>
        <v>talent2.ladyleo</v>
      </c>
      <c r="G11" s="128" t="s">
        <v>180</v>
      </c>
      <c r="H11" s="128">
        <f>+ROW(pictures.talent2[[#This Row],[Hero]])</f>
        <v>11</v>
      </c>
      <c r="I11" s="128" t="s">
        <v>168</v>
      </c>
      <c r="J11" s="128" t="str">
        <f t="shared" si="0"/>
        <v>&lt;definedName name="talent2.ladyleo"&gt;'pictures-talent2'!$B$11&lt;/definedName&gt;</v>
      </c>
    </row>
    <row r="12" spans="1:10" ht="28.35" customHeight="1" x14ac:dyDescent="0.25">
      <c r="A12" s="139" t="s">
        <v>75</v>
      </c>
      <c r="B12" s="126"/>
      <c r="C12" s="140" t="s">
        <v>158</v>
      </c>
      <c r="E12" s="128" t="s">
        <v>167</v>
      </c>
      <c r="F12" s="128" t="str">
        <f>+"talent2."&amp;SUBSTITUTE(SUBSTITUTE(LOWER(pictures.talent2[[#This Row],[Hero]])," ",""),"-","")</f>
        <v>talent2.phantomking</v>
      </c>
      <c r="G12" s="128" t="s">
        <v>180</v>
      </c>
      <c r="H12" s="128">
        <f>+ROW(pictures.talent2[[#This Row],[Hero]])</f>
        <v>12</v>
      </c>
      <c r="I12" s="128" t="s">
        <v>168</v>
      </c>
      <c r="J12" s="128" t="str">
        <f t="shared" si="0"/>
        <v>&lt;definedName name="talent2.phantomking"&gt;'pictures-talent2'!$B$12&lt;/definedName&gt;</v>
      </c>
    </row>
    <row r="13" spans="1:10" ht="28.35" customHeight="1" x14ac:dyDescent="0.25">
      <c r="A13" s="129" t="s">
        <v>76</v>
      </c>
      <c r="B13" s="126"/>
      <c r="C13" s="131" t="s">
        <v>160</v>
      </c>
      <c r="E13" s="128" t="s">
        <v>167</v>
      </c>
      <c r="F13" s="128" t="str">
        <f>+"talent2."&amp;SUBSTITUTE(SUBSTITUTE(LOWER(pictures.talent2[[#This Row],[Hero]])," ",""),"-","")</f>
        <v>talent2.pixie</v>
      </c>
      <c r="G13" s="128" t="s">
        <v>180</v>
      </c>
      <c r="H13" s="128">
        <f>+ROW(pictures.talent2[[#This Row],[Hero]])</f>
        <v>13</v>
      </c>
      <c r="I13" s="128" t="s">
        <v>168</v>
      </c>
      <c r="J13" s="128" t="str">
        <f t="shared" si="0"/>
        <v>&lt;definedName name="talent2.pixie"&gt;'pictures-talent2'!$B$13&lt;/definedName&gt;</v>
      </c>
    </row>
    <row r="14" spans="1:10" ht="28.35" customHeight="1" x14ac:dyDescent="0.25">
      <c r="A14" s="129" t="s">
        <v>79</v>
      </c>
      <c r="B14" s="126"/>
      <c r="C14" s="131" t="s">
        <v>160</v>
      </c>
      <c r="E14" s="128" t="s">
        <v>167</v>
      </c>
      <c r="F14" s="128" t="str">
        <f>+"talent2."&amp;SUBSTITUTE(SUBSTITUTE(LOWER(pictures.talent2[[#This Row],[Hero]])," ",""),"-","")</f>
        <v>talent2.santaboom</v>
      </c>
      <c r="G14" s="128" t="s">
        <v>180</v>
      </c>
      <c r="H14" s="128">
        <f>+ROW(pictures.talent2[[#This Row],[Hero]])</f>
        <v>14</v>
      </c>
      <c r="I14" s="128" t="s">
        <v>168</v>
      </c>
      <c r="J14" s="128" t="str">
        <f t="shared" si="0"/>
        <v>&lt;definedName name="talent2.santaboom"&gt;'pictures-talent2'!$B$14&lt;/definedName&gt;</v>
      </c>
    </row>
    <row r="15" spans="1:10" ht="28.5" customHeight="1" x14ac:dyDescent="0.25">
      <c r="A15" s="129" t="s">
        <v>83</v>
      </c>
      <c r="B15" s="126"/>
      <c r="C15" s="130" t="s">
        <v>159</v>
      </c>
      <c r="E15" s="128" t="s">
        <v>167</v>
      </c>
      <c r="F15" s="128" t="str">
        <f>+"talent2."&amp;SUBSTITUTE(SUBSTITUTE(LOWER(pictures.talent2[[#This Row],[Hero]])," ",""),"-","")</f>
        <v>talent2.skullknight</v>
      </c>
      <c r="G15" s="128" t="s">
        <v>180</v>
      </c>
      <c r="H15" s="128">
        <f>+ROW(pictures.talent2[[#This Row],[Hero]])</f>
        <v>15</v>
      </c>
      <c r="I15" s="128" t="s">
        <v>168</v>
      </c>
      <c r="J15" s="128" t="str">
        <f t="shared" si="0"/>
        <v>&lt;definedName name="talent2.skullknight"&gt;'pictures-talent2'!$B$15&lt;/definedName&gt;</v>
      </c>
    </row>
    <row r="16" spans="1:10" ht="28.5" customHeight="1" x14ac:dyDescent="0.25">
      <c r="A16" s="129" t="s">
        <v>90</v>
      </c>
      <c r="B16" s="126"/>
      <c r="C16" s="130" t="s">
        <v>159</v>
      </c>
    </row>
    <row r="17" spans="1:3" ht="28.35" customHeight="1" x14ac:dyDescent="0.25">
      <c r="A17" s="129" t="s">
        <v>191</v>
      </c>
      <c r="B17" s="126"/>
      <c r="C17" s="130"/>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I21"/>
  <sheetViews>
    <sheetView workbookViewId="0"/>
  </sheetViews>
  <sheetFormatPr defaultRowHeight="15" x14ac:dyDescent="0.25"/>
  <cols>
    <col min="1" max="1" width="20.7109375" style="128" customWidth="1"/>
    <col min="2" max="2" width="5.7109375" style="128" customWidth="1"/>
    <col min="3" max="3" width="9.140625" style="128"/>
    <col min="4" max="9" width="0" style="128" hidden="1" customWidth="1"/>
    <col min="10" max="16384" width="9.140625" style="128"/>
  </cols>
  <sheetData>
    <row r="1" spans="1:9" x14ac:dyDescent="0.25">
      <c r="A1" s="128" t="s">
        <v>104</v>
      </c>
      <c r="B1" s="128" t="s">
        <v>95</v>
      </c>
    </row>
    <row r="2" spans="1:9" ht="29.1" customHeight="1" x14ac:dyDescent="0.25">
      <c r="A2" s="128" t="s">
        <v>8</v>
      </c>
      <c r="D2" s="128" t="s">
        <v>167</v>
      </c>
      <c r="E2" s="128" t="str">
        <f>+"crest."&amp;SUBSTITUTE(SUBSTITUTE(LOWER(pictures.crests[[#This Row],[Talent]])," ",""),"-","")</f>
        <v>crest.berserk</v>
      </c>
      <c r="F2" s="128" t="s">
        <v>181</v>
      </c>
      <c r="G2" s="128">
        <f>+ROW(pictures.crests[[#This Row],[Talent]])</f>
        <v>2</v>
      </c>
      <c r="H2" s="128" t="s">
        <v>168</v>
      </c>
      <c r="I2" s="128" t="str">
        <f>+D2&amp;E2&amp;F2&amp;G2&amp;H2</f>
        <v>&lt;definedName name="crest.berserk"&gt;'pictures-crest'!$B$2&lt;/definedName&gt;</v>
      </c>
    </row>
    <row r="3" spans="1:9" ht="29.1" customHeight="1" x14ac:dyDescent="0.25">
      <c r="A3" s="128" t="s">
        <v>13</v>
      </c>
      <c r="D3" s="128" t="s">
        <v>167</v>
      </c>
      <c r="E3" s="128" t="str">
        <f>+"crest."&amp;SUBSTITUTE(SUBSTITUTE(LOWER(pictures.crests[[#This Row],[Talent]])," ",""),"-","")</f>
        <v>crest.bladeshell</v>
      </c>
      <c r="F3" s="128" t="s">
        <v>181</v>
      </c>
      <c r="G3" s="128">
        <f>+ROW(pictures.crests[[#This Row],[Talent]])</f>
        <v>3</v>
      </c>
      <c r="H3" s="128" t="s">
        <v>168</v>
      </c>
      <c r="I3" s="128" t="str">
        <f t="shared" ref="I3:I20" si="0">+D3&amp;E3&amp;F3&amp;G3&amp;H3</f>
        <v>&lt;definedName name="crest.bladeshell"&gt;'pictures-crest'!$B$3&lt;/definedName&gt;</v>
      </c>
    </row>
    <row r="4" spans="1:9" ht="29.1" customHeight="1" x14ac:dyDescent="0.25">
      <c r="A4" s="128" t="s">
        <v>16</v>
      </c>
      <c r="D4" s="128" t="s">
        <v>167</v>
      </c>
      <c r="E4" s="128" t="str">
        <f>+"crest."&amp;SUBSTITUTE(SUBSTITUTE(LOWER(pictures.crests[[#This Row],[Talent]])," ",""),"-","")</f>
        <v>crest.bulwark</v>
      </c>
      <c r="F4" s="128" t="s">
        <v>181</v>
      </c>
      <c r="G4" s="128">
        <f>+ROW(pictures.crests[[#This Row],[Talent]])</f>
        <v>4</v>
      </c>
      <c r="H4" s="128" t="s">
        <v>168</v>
      </c>
      <c r="I4" s="128" t="str">
        <f t="shared" si="0"/>
        <v>&lt;definedName name="crest.bulwark"&gt;'pictures-crest'!$B$4&lt;/definedName&gt;</v>
      </c>
    </row>
    <row r="5" spans="1:9" ht="29.1" customHeight="1" x14ac:dyDescent="0.25">
      <c r="A5" s="128" t="s">
        <v>22</v>
      </c>
      <c r="D5" s="128" t="s">
        <v>167</v>
      </c>
      <c r="E5" s="128" t="str">
        <f>+"crest."&amp;SUBSTITUTE(SUBSTITUTE(LOWER(pictures.crests[[#This Row],[Talent]])," ",""),"-","")</f>
        <v>crest.deadlystrike</v>
      </c>
      <c r="F5" s="128" t="s">
        <v>181</v>
      </c>
      <c r="G5" s="128">
        <f>+ROW(pictures.crests[[#This Row],[Talent]])</f>
        <v>5</v>
      </c>
      <c r="H5" s="128" t="s">
        <v>168</v>
      </c>
      <c r="I5" s="128" t="str">
        <f t="shared" si="0"/>
        <v>&lt;definedName name="crest.deadlystrike"&gt;'pictures-crest'!$B$5&lt;/definedName&gt;</v>
      </c>
    </row>
    <row r="6" spans="1:9" ht="29.1" customHeight="1" x14ac:dyDescent="0.25">
      <c r="A6" s="128" t="s">
        <v>26</v>
      </c>
      <c r="D6" s="128" t="s">
        <v>167</v>
      </c>
      <c r="E6" s="128" t="str">
        <f>+"crest."&amp;SUBSTITUTE(SUBSTITUTE(LOWER(pictures.crests[[#This Row],[Talent]])," ",""),"-","")</f>
        <v>crest.flameguard</v>
      </c>
      <c r="F6" s="128" t="s">
        <v>181</v>
      </c>
      <c r="G6" s="128">
        <f>+ROW(pictures.crests[[#This Row],[Talent]])</f>
        <v>6</v>
      </c>
      <c r="H6" s="128" t="s">
        <v>168</v>
      </c>
      <c r="I6" s="128" t="str">
        <f t="shared" si="0"/>
        <v>&lt;definedName name="crest.flameguard"&gt;'pictures-crest'!$B$6&lt;/definedName&gt;</v>
      </c>
    </row>
    <row r="7" spans="1:9" ht="29.1" customHeight="1" x14ac:dyDescent="0.25">
      <c r="A7" s="128" t="s">
        <v>30</v>
      </c>
      <c r="D7" s="128" t="s">
        <v>167</v>
      </c>
      <c r="E7" s="128" t="str">
        <f>+"crest."&amp;SUBSTITUTE(SUBSTITUTE(LOWER(pictures.crests[[#This Row],[Talent]])," ",""),"-","")</f>
        <v>crest.heavyblow</v>
      </c>
      <c r="F7" s="128" t="s">
        <v>181</v>
      </c>
      <c r="G7" s="128">
        <f>+ROW(pictures.crests[[#This Row],[Talent]])</f>
        <v>7</v>
      </c>
      <c r="H7" s="128" t="s">
        <v>168</v>
      </c>
      <c r="I7" s="128" t="str">
        <f t="shared" si="0"/>
        <v>&lt;definedName name="crest.heavyblow"&gt;'pictures-crest'!$B$7&lt;/definedName&gt;</v>
      </c>
    </row>
    <row r="8" spans="1:9" ht="29.1" customHeight="1" x14ac:dyDescent="0.25">
      <c r="A8" s="128" t="s">
        <v>32</v>
      </c>
      <c r="D8" s="128" t="s">
        <v>167</v>
      </c>
      <c r="E8" s="128" t="str">
        <f>+"crest."&amp;SUBSTITUTE(SUBSTITUTE(LOWER(pictures.crests[[#This Row],[Talent]])," ",""),"-","")</f>
        <v>crest.lifedrain</v>
      </c>
      <c r="F8" s="128" t="s">
        <v>181</v>
      </c>
      <c r="G8" s="128">
        <f>+ROW(pictures.crests[[#This Row],[Talent]])</f>
        <v>8</v>
      </c>
      <c r="H8" s="128" t="s">
        <v>168</v>
      </c>
      <c r="I8" s="128" t="str">
        <f t="shared" si="0"/>
        <v>&lt;definedName name="crest.lifedrain"&gt;'pictures-crest'!$B$8&lt;/definedName&gt;</v>
      </c>
    </row>
    <row r="9" spans="1:9" ht="29.1" customHeight="1" x14ac:dyDescent="0.25">
      <c r="A9" s="128" t="s">
        <v>34</v>
      </c>
      <c r="D9" s="128" t="s">
        <v>167</v>
      </c>
      <c r="E9" s="128" t="str">
        <f>+"crest."&amp;SUBSTITUTE(SUBSTITUTE(LOWER(pictures.crests[[#This Row],[Talent]])," ",""),"-","")</f>
        <v>crest.psyshield</v>
      </c>
      <c r="F9" s="128" t="s">
        <v>181</v>
      </c>
      <c r="G9" s="128">
        <f>+ROW(pictures.crests[[#This Row],[Talent]])</f>
        <v>9</v>
      </c>
      <c r="H9" s="128" t="s">
        <v>168</v>
      </c>
      <c r="I9" s="128" t="str">
        <f t="shared" si="0"/>
        <v>&lt;definedName name="crest.psyshield"&gt;'pictures-crest'!$B$9&lt;/definedName&gt;</v>
      </c>
    </row>
    <row r="10" spans="1:9" ht="29.1" customHeight="1" x14ac:dyDescent="0.25">
      <c r="A10" s="128" t="s">
        <v>36</v>
      </c>
      <c r="D10" s="128" t="s">
        <v>167</v>
      </c>
      <c r="E10" s="128" t="str">
        <f>+"crest."&amp;SUBSTITUTE(SUBSTITUTE(LOWER(pictures.crests[[#This Row],[Talent]])," ",""),"-","")</f>
        <v>crest.revitalize</v>
      </c>
      <c r="F10" s="128" t="s">
        <v>181</v>
      </c>
      <c r="G10" s="128">
        <f>+ROW(pictures.crests[[#This Row],[Talent]])</f>
        <v>10</v>
      </c>
      <c r="H10" s="128" t="s">
        <v>168</v>
      </c>
      <c r="I10" s="128" t="str">
        <f t="shared" si="0"/>
        <v>&lt;definedName name="crest.revitalize"&gt;'pictures-crest'!$B$10&lt;/definedName&gt;</v>
      </c>
    </row>
    <row r="11" spans="1:9" ht="29.1" customHeight="1" x14ac:dyDescent="0.25">
      <c r="A11" s="128" t="s">
        <v>38</v>
      </c>
      <c r="D11" s="128" t="s">
        <v>167</v>
      </c>
      <c r="E11" s="128" t="str">
        <f>+"crest."&amp;SUBSTITUTE(SUBSTITUTE(LOWER(pictures.crests[[#This Row],[Talent]])," ",""),"-","")</f>
        <v>crest.revive</v>
      </c>
      <c r="F11" s="128" t="s">
        <v>181</v>
      </c>
      <c r="G11" s="128">
        <f>+ROW(pictures.crests[[#This Row],[Talent]])</f>
        <v>11</v>
      </c>
      <c r="H11" s="128" t="s">
        <v>168</v>
      </c>
      <c r="I11" s="128" t="str">
        <f t="shared" si="0"/>
        <v>&lt;definedName name="crest.revive"&gt;'pictures-crest'!$B$11&lt;/definedName&gt;</v>
      </c>
    </row>
    <row r="12" spans="1:9" ht="29.1" customHeight="1" x14ac:dyDescent="0.25">
      <c r="A12" s="128" t="s">
        <v>40</v>
      </c>
      <c r="D12" s="128" t="s">
        <v>167</v>
      </c>
      <c r="E12" s="128" t="str">
        <f>+"crest."&amp;SUBSTITUTE(SUBSTITUTE(LOWER(pictures.crests[[#This Row],[Talent]])," ",""),"-","")</f>
        <v>crest.scatter</v>
      </c>
      <c r="F12" s="128" t="s">
        <v>181</v>
      </c>
      <c r="G12" s="128">
        <f>+ROW(pictures.crests[[#This Row],[Talent]])</f>
        <v>12</v>
      </c>
      <c r="H12" s="128" t="s">
        <v>168</v>
      </c>
      <c r="I12" s="128" t="str">
        <f t="shared" si="0"/>
        <v>&lt;definedName name="crest.scatter"&gt;'pictures-crest'!$B$12&lt;/definedName&gt;</v>
      </c>
    </row>
    <row r="13" spans="1:9" ht="29.1" customHeight="1" x14ac:dyDescent="0.25">
      <c r="A13" s="128" t="s">
        <v>42</v>
      </c>
      <c r="D13" s="128" t="s">
        <v>167</v>
      </c>
      <c r="E13" s="128" t="str">
        <f>+"crest."&amp;SUBSTITUTE(SUBSTITUTE(LOWER(pictures.crests[[#This Row],[Talent]])," ",""),"-","")</f>
        <v>crest.scorch</v>
      </c>
      <c r="F13" s="128" t="s">
        <v>181</v>
      </c>
      <c r="G13" s="128">
        <f>+ROW(pictures.crests[[#This Row],[Talent]])</f>
        <v>13</v>
      </c>
      <c r="H13" s="128" t="s">
        <v>168</v>
      </c>
      <c r="I13" s="128" t="str">
        <f t="shared" si="0"/>
        <v>&lt;definedName name="crest.scorch"&gt;'pictures-crest'!$B$13&lt;/definedName&gt;</v>
      </c>
    </row>
    <row r="14" spans="1:9" ht="29.1" customHeight="1" x14ac:dyDescent="0.25">
      <c r="A14" s="128" t="s">
        <v>44</v>
      </c>
      <c r="D14" s="128" t="s">
        <v>167</v>
      </c>
      <c r="E14" s="128" t="str">
        <f>+"crest."&amp;SUBSTITUTE(SUBSTITUTE(LOWER(pictures.crests[[#This Row],[Talent]])," ",""),"-","")</f>
        <v>crest.selfdestruct</v>
      </c>
      <c r="F14" s="128" t="s">
        <v>181</v>
      </c>
      <c r="G14" s="128">
        <f>+ROW(pictures.crests[[#This Row],[Talent]])</f>
        <v>14</v>
      </c>
      <c r="H14" s="128" t="s">
        <v>168</v>
      </c>
      <c r="I14" s="128" t="str">
        <f t="shared" si="0"/>
        <v>&lt;definedName name="crest.selfdestruct"&gt;'pictures-crest'!$B$14&lt;/definedName&gt;</v>
      </c>
    </row>
    <row r="15" spans="1:9" ht="29.1" customHeight="1" x14ac:dyDescent="0.25">
      <c r="A15" s="128" t="s">
        <v>46</v>
      </c>
      <c r="D15" s="128" t="s">
        <v>167</v>
      </c>
      <c r="E15" s="128" t="str">
        <f>+"crest."&amp;SUBSTITUTE(SUBSTITUTE(LOWER(pictures.crests[[#This Row],[Talent]])," ",""),"-","")</f>
        <v>crest.slowdown</v>
      </c>
      <c r="F15" s="128" t="s">
        <v>181</v>
      </c>
      <c r="G15" s="128">
        <f>+ROW(pictures.crests[[#This Row],[Talent]])</f>
        <v>15</v>
      </c>
      <c r="H15" s="128" t="s">
        <v>168</v>
      </c>
      <c r="I15" s="128" t="str">
        <f t="shared" si="0"/>
        <v>&lt;definedName name="crest.slowdown"&gt;'pictures-crest'!$B$15&lt;/definedName&gt;</v>
      </c>
    </row>
    <row r="16" spans="1:9" ht="29.1" customHeight="1" x14ac:dyDescent="0.25">
      <c r="A16" s="128" t="s">
        <v>48</v>
      </c>
      <c r="D16" s="128" t="s">
        <v>167</v>
      </c>
      <c r="E16" s="128" t="str">
        <f>+"crest."&amp;SUBSTITUTE(SUBSTITUTE(LOWER(pictures.crests[[#This Row],[Talent]])," ",""),"-","")</f>
        <v>crest.sprint</v>
      </c>
      <c r="F16" s="128" t="s">
        <v>181</v>
      </c>
      <c r="G16" s="128">
        <f>+ROW(pictures.crests[[#This Row],[Talent]])</f>
        <v>16</v>
      </c>
      <c r="H16" s="128" t="s">
        <v>168</v>
      </c>
      <c r="I16" s="128" t="str">
        <f t="shared" si="0"/>
        <v>&lt;definedName name="crest.sprint"&gt;'pictures-crest'!$B$16&lt;/definedName&gt;</v>
      </c>
    </row>
    <row r="17" spans="1:9" ht="29.1" customHeight="1" x14ac:dyDescent="0.25">
      <c r="A17" s="128" t="s">
        <v>50</v>
      </c>
      <c r="D17" s="128" t="s">
        <v>167</v>
      </c>
      <c r="E17" s="128" t="str">
        <f>+"crest."&amp;SUBSTITUTE(SUBSTITUTE(LOWER(pictures.crests[[#This Row],[Talent]])," ",""),"-","")</f>
        <v>crest.stoneskin</v>
      </c>
      <c r="F17" s="128" t="s">
        <v>181</v>
      </c>
      <c r="G17" s="128">
        <f>+ROW(pictures.crests[[#This Row],[Talent]])</f>
        <v>17</v>
      </c>
      <c r="H17" s="128" t="s">
        <v>168</v>
      </c>
      <c r="I17" s="128" t="str">
        <f t="shared" si="0"/>
        <v>&lt;definedName name="crest.stoneskin"&gt;'pictures-crest'!$B$17&lt;/definedName&gt;</v>
      </c>
    </row>
    <row r="18" spans="1:9" ht="29.1" customHeight="1" x14ac:dyDescent="0.25">
      <c r="A18" s="128" t="s">
        <v>52</v>
      </c>
      <c r="D18" s="128" t="s">
        <v>167</v>
      </c>
      <c r="E18" s="128" t="str">
        <f>+"crest."&amp;SUBSTITUTE(SUBSTITUTE(LOWER(pictures.crests[[#This Row],[Talent]])," ",""),"-","")</f>
        <v>crest.tenacity</v>
      </c>
      <c r="F18" s="128" t="s">
        <v>181</v>
      </c>
      <c r="G18" s="128">
        <f>+ROW(pictures.crests[[#This Row],[Talent]])</f>
        <v>18</v>
      </c>
      <c r="H18" s="128" t="s">
        <v>168</v>
      </c>
      <c r="I18" s="128" t="str">
        <f t="shared" si="0"/>
        <v>&lt;definedName name="crest.tenacity"&gt;'pictures-crest'!$B$18&lt;/definedName&gt;</v>
      </c>
    </row>
    <row r="19" spans="1:9" ht="29.1" customHeight="1" x14ac:dyDescent="0.25">
      <c r="A19" s="128" t="s">
        <v>54</v>
      </c>
      <c r="D19" s="128" t="s">
        <v>167</v>
      </c>
      <c r="E19" s="128" t="str">
        <f>+"crest."&amp;SUBSTITUTE(SUBSTITUTE(LOWER(pictures.crests[[#This Row],[Talent]])," ",""),"-","")</f>
        <v>crest.wargod</v>
      </c>
      <c r="F19" s="128" t="s">
        <v>181</v>
      </c>
      <c r="G19" s="128">
        <f>+ROW(pictures.crests[[#This Row],[Talent]])</f>
        <v>19</v>
      </c>
      <c r="H19" s="128" t="s">
        <v>168</v>
      </c>
      <c r="I19" s="128" t="str">
        <f t="shared" si="0"/>
        <v>&lt;definedName name="crest.wargod"&gt;'pictures-crest'!$B$19&lt;/definedName&gt;</v>
      </c>
    </row>
    <row r="20" spans="1:9" ht="29.1" customHeight="1" x14ac:dyDescent="0.25">
      <c r="A20" s="128" t="s">
        <v>169</v>
      </c>
      <c r="D20" s="128" t="s">
        <v>167</v>
      </c>
      <c r="E20" s="128" t="str">
        <f>+"crest."&amp;SUBSTITUTE(SUBSTITUTE(LOWER(pictures.crests[[#This Row],[Talent]])," ",""),"-","")</f>
        <v>crest.empty</v>
      </c>
      <c r="F20" s="128" t="s">
        <v>181</v>
      </c>
      <c r="G20" s="128">
        <f>+ROW(pictures.crests[[#This Row],[Talent]])</f>
        <v>20</v>
      </c>
      <c r="H20" s="128" t="s">
        <v>168</v>
      </c>
      <c r="I20" s="128" t="str">
        <f t="shared" si="0"/>
        <v>&lt;definedName name="crest.empty"&gt;'pictures-crest'!$B$20&lt;/definedName&gt;</v>
      </c>
    </row>
    <row r="21" spans="1:9" x14ac:dyDescent="0.25">
      <c r="A21" s="133" t="s">
        <v>111</v>
      </c>
      <c r="B21" s="13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G70"/>
  <sheetViews>
    <sheetView workbookViewId="0"/>
  </sheetViews>
  <sheetFormatPr defaultRowHeight="15" x14ac:dyDescent="0.25"/>
  <cols>
    <col min="1" max="1" width="18" bestFit="1" customWidth="1"/>
    <col min="2" max="2" width="28.5703125" bestFit="1" customWidth="1"/>
    <col min="3" max="3" width="21.5703125" bestFit="1" customWidth="1"/>
    <col min="4" max="4" width="20.7109375" bestFit="1" customWidth="1"/>
    <col min="5" max="5" width="18.85546875" bestFit="1" customWidth="1"/>
    <col min="6" max="6" width="17" bestFit="1" customWidth="1"/>
    <col min="8" max="8" width="22" hidden="1" customWidth="1"/>
    <col min="9" max="9" width="24.28515625" hidden="1" customWidth="1"/>
    <col min="10" max="14" width="2" hidden="1" customWidth="1"/>
    <col min="15" max="15" width="21.85546875" hidden="1" customWidth="1"/>
    <col min="16" max="17" width="2.140625" hidden="1" customWidth="1"/>
    <col min="18" max="18" width="2.28515625" hidden="1" customWidth="1"/>
    <col min="19" max="21" width="2" hidden="1" customWidth="1"/>
    <col min="22" max="22" width="3" hidden="1" customWidth="1"/>
    <col min="23" max="23" width="17" hidden="1" customWidth="1"/>
    <col min="24" max="28" width="0" hidden="1" customWidth="1"/>
  </cols>
  <sheetData>
    <row r="1" spans="1:33" x14ac:dyDescent="0.25">
      <c r="B1" s="125" t="s">
        <v>186</v>
      </c>
      <c r="C1" s="125" t="s">
        <v>187</v>
      </c>
      <c r="D1" s="125" t="s">
        <v>188</v>
      </c>
      <c r="E1" s="125" t="s">
        <v>189</v>
      </c>
      <c r="F1" s="125" t="s">
        <v>190</v>
      </c>
    </row>
    <row r="2" spans="1:33" x14ac:dyDescent="0.25">
      <c r="A2" t="s">
        <v>4</v>
      </c>
      <c r="B2" t="s">
        <v>170</v>
      </c>
      <c r="C2" t="s">
        <v>161</v>
      </c>
      <c r="D2" t="s">
        <v>171</v>
      </c>
      <c r="E2" t="s">
        <v>164</v>
      </c>
      <c r="F2" t="s">
        <v>95</v>
      </c>
    </row>
    <row r="3" spans="1:33" x14ac:dyDescent="0.25">
      <c r="A3" t="s">
        <v>9</v>
      </c>
      <c r="B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hero.alchemist.stage1</v>
      </c>
      <c r="C3" t="str">
        <f>+"skill."&amp;SUBSTITUTE(SUBSTITUTE(LOWER(pictures.concat[[#This Row],[Hero]])," ",""),"-","")</f>
        <v>skill.alchemist</v>
      </c>
      <c r="D3" t="str">
        <f>+"talent1."&amp;_xlfn.IFNA(SUBSTITUTE(SUBSTITUTE(LOWER(INDEX(heroes[Talent],MATCH(pictures.concat[[#This Row],[Hero]],heroes[Hero],0)))," ",""),"'",""),"empty")</f>
        <v>talent1.wargod</v>
      </c>
      <c r="E3" t="str">
        <f>+"talent2."&amp;_xlfn.IFNA(SUBSTITUTE(LOWER(INDEX(pictures.talent2[Hero],MATCH(pictures.concat[[#This Row],[Hero]],pictures.talent2[Hero],0)))," ",""),"empty")</f>
        <v>talent2.empty</v>
      </c>
      <c r="F3" t="str">
        <f>+"crest."&amp;_xlfn.IFNA(IF(INDEX(heroes[Crest Set],MATCH(pictures.concat[[#This Row],[Hero]],heroes[Hero],0))="","empty",SUBSTITUTE(LOWER(INDEX(heroes[Crest Set],MATCH(pictures.concat[[#This Row],[Hero]],heroes[Hero],0)))," ","")),"empty")</f>
        <v>crest.empty</v>
      </c>
      <c r="H3" t="s">
        <v>167</v>
      </c>
      <c r="I3" t="str">
        <f>+"concat."&amp;SUBSTITUTE(SUBSTITUTE(LOWER(pictures.concat[[#This Row],[Hero]])," ",""),"-","")&amp;"."</f>
        <v>concat.alchemist.</v>
      </c>
      <c r="J3">
        <v>1</v>
      </c>
      <c r="K3">
        <v>2</v>
      </c>
      <c r="L3">
        <v>3</v>
      </c>
      <c r="M3">
        <v>4</v>
      </c>
      <c r="N3">
        <v>5</v>
      </c>
      <c r="O3" t="s">
        <v>184</v>
      </c>
      <c r="P3" t="s">
        <v>174</v>
      </c>
      <c r="Q3" t="s">
        <v>175</v>
      </c>
      <c r="R3" t="s">
        <v>176</v>
      </c>
      <c r="S3" t="s">
        <v>182</v>
      </c>
      <c r="T3" t="s">
        <v>183</v>
      </c>
      <c r="U3" t="s">
        <v>177</v>
      </c>
      <c r="V3">
        <f>+ROW(pictures.concat[[#This Row],[Hero]])</f>
        <v>3</v>
      </c>
      <c r="W3" t="s">
        <v>185</v>
      </c>
      <c r="X3" t="str">
        <f>+H3&amp;I3&amp;J3&amp;O3&amp;P3&amp;U3&amp;V3&amp;W3</f>
        <v>&lt;definedName name="concat.alchemist.1"&gt;INDIRECT('pictures'!$B$3)&lt;/definedName&gt;</v>
      </c>
      <c r="Y3" s="124" t="str">
        <f>+H3&amp;I3&amp;K3&amp;O3&amp;Q3&amp;U3&amp;V3&amp;W3</f>
        <v>&lt;definedName name="concat.alchemist.2"&gt;INDIRECT('pictures'!$C$3)&lt;/definedName&gt;</v>
      </c>
      <c r="Z3" s="124" t="str">
        <f>+H3&amp;I3&amp;L3&amp;O3&amp;R3&amp;U3&amp;V3&amp;W3</f>
        <v>&lt;definedName name="concat.alchemist.3"&gt;INDIRECT('pictures'!$D$3)&lt;/definedName&gt;</v>
      </c>
      <c r="AA3" s="124" t="str">
        <f>+H3&amp;I3&amp;M3&amp;O3&amp;S3&amp;U3&amp;V3&amp;W3</f>
        <v>&lt;definedName name="concat.alchemist.4"&gt;INDIRECT('pictures'!$E$3)&lt;/definedName&gt;</v>
      </c>
      <c r="AB3" s="124" t="str">
        <f>+H3&amp;I3&amp;N3&amp;O3&amp;T3&amp;U3&amp;V3&amp;W3</f>
        <v>&lt;definedName name="concat.alchemist.5"&gt;INDIRECT('pictures'!$F$3)&lt;/definedName&gt;</v>
      </c>
      <c r="AC3" s="123"/>
      <c r="AD3" s="123"/>
      <c r="AE3" s="123"/>
      <c r="AF3" s="123"/>
      <c r="AG3" s="123"/>
    </row>
    <row r="4" spans="1:33" x14ac:dyDescent="0.25">
      <c r="A4" t="s">
        <v>14</v>
      </c>
      <c r="B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hero.angel.stage1</v>
      </c>
      <c r="C4" t="str">
        <f>+"skill."&amp;SUBSTITUTE(SUBSTITUTE(LOWER(pictures.concat[[#This Row],[Hero]])," ",""),"-","")</f>
        <v>skill.angel</v>
      </c>
      <c r="D4" t="str">
        <f>+"talent1."&amp;_xlfn.IFNA(SUBSTITUTE(SUBSTITUTE(LOWER(INDEX(heroes[Talent],MATCH(pictures.concat[[#This Row],[Hero]],heroes[Hero],0)))," ",""),"'",""),"empty")</f>
        <v>talent1.berserk</v>
      </c>
      <c r="E4" t="str">
        <f>+"talent2."&amp;_xlfn.IFNA(SUBSTITUTE(LOWER(INDEX(pictures.talent2[Hero],MATCH(pictures.concat[[#This Row],[Hero]],pictures.talent2[Hero],0)))," ",""),"empty")</f>
        <v>talent2.empty</v>
      </c>
      <c r="F4" t="str">
        <f>+"crest."&amp;_xlfn.IFNA(IF(INDEX(heroes[Crest Set],MATCH(pictures.concat[[#This Row],[Hero]],heroes[Hero],0))="","empty",SUBSTITUTE(LOWER(INDEX(heroes[Crest Set],MATCH(pictures.concat[[#This Row],[Hero]],heroes[Hero],0)))," ","")),"empty")</f>
        <v>crest.empty</v>
      </c>
      <c r="H4" t="s">
        <v>167</v>
      </c>
      <c r="I4" t="str">
        <f>+"concat."&amp;SUBSTITUTE(SUBSTITUTE(LOWER(pictures.concat[[#This Row],[Hero]])," ",""),"-","")&amp;"."</f>
        <v>concat.angel.</v>
      </c>
      <c r="J4">
        <v>1</v>
      </c>
      <c r="K4">
        <v>2</v>
      </c>
      <c r="L4">
        <v>3</v>
      </c>
      <c r="M4">
        <v>4</v>
      </c>
      <c r="N4">
        <v>5</v>
      </c>
      <c r="O4" t="s">
        <v>184</v>
      </c>
      <c r="P4" t="s">
        <v>174</v>
      </c>
      <c r="Q4" t="s">
        <v>175</v>
      </c>
      <c r="R4" t="s">
        <v>176</v>
      </c>
      <c r="S4" t="s">
        <v>182</v>
      </c>
      <c r="T4" t="s">
        <v>183</v>
      </c>
      <c r="U4" t="s">
        <v>177</v>
      </c>
      <c r="V4">
        <f>+ROW(pictures.concat[[#This Row],[Hero]])</f>
        <v>4</v>
      </c>
      <c r="W4" t="s">
        <v>185</v>
      </c>
      <c r="X4" t="str">
        <f t="shared" ref="X4:X63" si="0">+H4&amp;I4&amp;J4&amp;O4&amp;P4&amp;U4&amp;V4&amp;W4</f>
        <v>&lt;definedName name="concat.angel.1"&gt;INDIRECT('pictures'!$B$4)&lt;/definedName&gt;</v>
      </c>
      <c r="Y4" s="124" t="str">
        <f t="shared" ref="Y4:Y63" si="1">+H4&amp;I4&amp;K4&amp;O4&amp;Q4&amp;U4&amp;V4&amp;W4</f>
        <v>&lt;definedName name="concat.angel.2"&gt;INDIRECT('pictures'!$C$4)&lt;/definedName&gt;</v>
      </c>
      <c r="Z4" s="124" t="str">
        <f t="shared" ref="Z4:Z63" si="2">+H4&amp;I4&amp;L4&amp;O4&amp;R4&amp;U4&amp;V4&amp;W4</f>
        <v>&lt;definedName name="concat.angel.3"&gt;INDIRECT('pictures'!$D$4)&lt;/definedName&gt;</v>
      </c>
      <c r="AA4" s="124" t="str">
        <f t="shared" ref="AA4:AA63" si="3">+H4&amp;I4&amp;M4&amp;O4&amp;S4&amp;U4&amp;V4&amp;W4</f>
        <v>&lt;definedName name="concat.angel.4"&gt;INDIRECT('pictures'!$E$4)&lt;/definedName&gt;</v>
      </c>
      <c r="AB4" s="124" t="str">
        <f t="shared" ref="AB4:AB63" si="4">+H4&amp;I4&amp;N4&amp;O4&amp;T4&amp;U4&amp;V4&amp;W4</f>
        <v>&lt;definedName name="concat.angel.5"&gt;INDIRECT('pictures'!$F$4)&lt;/definedName&gt;</v>
      </c>
      <c r="AC4" s="123"/>
      <c r="AD4" s="123"/>
      <c r="AE4" s="123"/>
      <c r="AF4" s="123"/>
      <c r="AG4" s="123"/>
    </row>
    <row r="5" spans="1:33" x14ac:dyDescent="0.25">
      <c r="A5" t="s">
        <v>195</v>
      </c>
      <c r="B5"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hero.anubis.stage0</v>
      </c>
      <c r="C5" s="124" t="str">
        <f>+"skill."&amp;SUBSTITUTE(SUBSTITUTE(LOWER(pictures.concat[[#This Row],[Hero]])," ",""),"-","")</f>
        <v>skill.anubis</v>
      </c>
      <c r="D5" s="124" t="str">
        <f>+"talent1."&amp;_xlfn.IFNA(SUBSTITUTE(SUBSTITUTE(LOWER(INDEX(heroes[Talent],MATCH(pictures.concat[[#This Row],[Hero]],heroes[Hero],0)))," ",""),"'",""),"empty")</f>
        <v>talent1.empty</v>
      </c>
      <c r="E5" s="124" t="str">
        <f>+"talent2."&amp;_xlfn.IFNA(SUBSTITUTE(LOWER(INDEX(pictures.talent2[Hero],MATCH(pictures.concat[[#This Row],[Hero]],pictures.talent2[Hero],0)))," ",""),"empty")</f>
        <v>talent2.empty</v>
      </c>
      <c r="F5" s="124" t="str">
        <f>+"crest."&amp;_xlfn.IFNA(IF(INDEX(heroes[Crest Set],MATCH(pictures.concat[[#This Row],[Hero]],heroes[Hero],0))="","empty",SUBSTITUTE(LOWER(INDEX(heroes[Crest Set],MATCH(pictures.concat[[#This Row],[Hero]],heroes[Hero],0)))," ","")),"empty")</f>
        <v>crest.empty</v>
      </c>
      <c r="H5" t="s">
        <v>167</v>
      </c>
      <c r="I5" t="str">
        <f>+"concat."&amp;SUBSTITUTE(SUBSTITUTE(LOWER(pictures.concat[[#This Row],[Hero]])," ",""),"-","")&amp;"."</f>
        <v>concat.anubis.</v>
      </c>
      <c r="J5">
        <v>1</v>
      </c>
      <c r="K5">
        <v>2</v>
      </c>
      <c r="L5">
        <v>3</v>
      </c>
      <c r="M5">
        <v>4</v>
      </c>
      <c r="N5">
        <v>5</v>
      </c>
      <c r="O5" t="s">
        <v>184</v>
      </c>
      <c r="P5" t="s">
        <v>174</v>
      </c>
      <c r="Q5" t="s">
        <v>175</v>
      </c>
      <c r="R5" t="s">
        <v>176</v>
      </c>
      <c r="S5" t="s">
        <v>182</v>
      </c>
      <c r="T5" t="s">
        <v>183</v>
      </c>
      <c r="U5" t="s">
        <v>177</v>
      </c>
      <c r="V5">
        <f>+ROW(pictures.concat[[#This Row],[Hero]])</f>
        <v>5</v>
      </c>
      <c r="W5" t="s">
        <v>185</v>
      </c>
      <c r="X5" t="str">
        <f t="shared" si="0"/>
        <v>&lt;definedName name="concat.anubis.1"&gt;INDIRECT('pictures'!$B$5)&lt;/definedName&gt;</v>
      </c>
      <c r="Y5" s="124" t="str">
        <f t="shared" si="1"/>
        <v>&lt;definedName name="concat.anubis.2"&gt;INDIRECT('pictures'!$C$5)&lt;/definedName&gt;</v>
      </c>
      <c r="Z5" s="124" t="str">
        <f t="shared" si="2"/>
        <v>&lt;definedName name="concat.anubis.3"&gt;INDIRECT('pictures'!$D$5)&lt;/definedName&gt;</v>
      </c>
      <c r="AA5" s="124" t="str">
        <f t="shared" si="3"/>
        <v>&lt;definedName name="concat.anubis.4"&gt;INDIRECT('pictures'!$E$5)&lt;/definedName&gt;</v>
      </c>
      <c r="AB5" s="124" t="str">
        <f t="shared" si="4"/>
        <v>&lt;definedName name="concat.anubis.5"&gt;INDIRECT('pictures'!$F$5)&lt;/definedName&gt;</v>
      </c>
      <c r="AC5" s="123"/>
      <c r="AD5" s="123"/>
      <c r="AE5" s="123"/>
      <c r="AF5" s="123"/>
      <c r="AG5" s="123"/>
    </row>
    <row r="6" spans="1:33" x14ac:dyDescent="0.25">
      <c r="A6" t="s">
        <v>17</v>
      </c>
      <c r="B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hero.arctica.stage0</v>
      </c>
      <c r="C6" t="str">
        <f>+"skill."&amp;SUBSTITUTE(SUBSTITUTE(LOWER(pictures.concat[[#This Row],[Hero]])," ",""),"-","")</f>
        <v>skill.arctica</v>
      </c>
      <c r="D6" t="str">
        <f>+"talent1."&amp;_xlfn.IFNA(SUBSTITUTE(SUBSTITUTE(LOWER(INDEX(heroes[Talent],MATCH(pictures.concat[[#This Row],[Hero]],heroes[Hero],0)))," ",""),"'",""),"empty")</f>
        <v>talent1.empty</v>
      </c>
      <c r="E6" t="str">
        <f>+"talent2."&amp;_xlfn.IFNA(SUBSTITUTE(LOWER(INDEX(pictures.talent2[Hero],MATCH(pictures.concat[[#This Row],[Hero]],pictures.talent2[Hero],0)))," ",""),"empty")</f>
        <v>talent2.arctica</v>
      </c>
      <c r="F6" t="str">
        <f>+"crest."&amp;_xlfn.IFNA(IF(INDEX(heroes[Crest Set],MATCH(pictures.concat[[#This Row],[Hero]],heroes[Hero],0))="","empty",SUBSTITUTE(LOWER(INDEX(heroes[Crest Set],MATCH(pictures.concat[[#This Row],[Hero]],heroes[Hero],0)))," ","")),"empty")</f>
        <v>crest.empty</v>
      </c>
      <c r="H6" t="s">
        <v>167</v>
      </c>
      <c r="I6" t="str">
        <f>+"concat."&amp;SUBSTITUTE(SUBSTITUTE(LOWER(pictures.concat[[#This Row],[Hero]])," ",""),"-","")&amp;"."</f>
        <v>concat.arctica.</v>
      </c>
      <c r="J6">
        <v>1</v>
      </c>
      <c r="K6">
        <v>2</v>
      </c>
      <c r="L6">
        <v>3</v>
      </c>
      <c r="M6">
        <v>4</v>
      </c>
      <c r="N6">
        <v>5</v>
      </c>
      <c r="O6" t="s">
        <v>184</v>
      </c>
      <c r="P6" t="s">
        <v>174</v>
      </c>
      <c r="Q6" t="s">
        <v>175</v>
      </c>
      <c r="R6" t="s">
        <v>176</v>
      </c>
      <c r="S6" t="s">
        <v>182</v>
      </c>
      <c r="T6" t="s">
        <v>183</v>
      </c>
      <c r="U6" t="s">
        <v>177</v>
      </c>
      <c r="V6">
        <f>+ROW(pictures.concat[[#This Row],[Hero]])</f>
        <v>6</v>
      </c>
      <c r="W6" t="s">
        <v>185</v>
      </c>
      <c r="X6" t="str">
        <f t="shared" si="0"/>
        <v>&lt;definedName name="concat.arctica.1"&gt;INDIRECT('pictures'!$B$6)&lt;/definedName&gt;</v>
      </c>
      <c r="Y6" s="124" t="str">
        <f t="shared" si="1"/>
        <v>&lt;definedName name="concat.arctica.2"&gt;INDIRECT('pictures'!$C$6)&lt;/definedName&gt;</v>
      </c>
      <c r="Z6" s="124" t="str">
        <f t="shared" si="2"/>
        <v>&lt;definedName name="concat.arctica.3"&gt;INDIRECT('pictures'!$D$6)&lt;/definedName&gt;</v>
      </c>
      <c r="AA6" s="124" t="str">
        <f t="shared" si="3"/>
        <v>&lt;definedName name="concat.arctica.4"&gt;INDIRECT('pictures'!$E$6)&lt;/definedName&gt;</v>
      </c>
      <c r="AB6" s="124" t="str">
        <f t="shared" si="4"/>
        <v>&lt;definedName name="concat.arctica.5"&gt;INDIRECT('pictures'!$F$6)&lt;/definedName&gt;</v>
      </c>
      <c r="AC6" s="123"/>
      <c r="AD6" s="123"/>
      <c r="AE6" s="123"/>
      <c r="AF6" s="123"/>
      <c r="AG6" s="123"/>
    </row>
    <row r="7" spans="1:33" x14ac:dyDescent="0.25">
      <c r="A7" t="s">
        <v>19</v>
      </c>
      <c r="B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hero.aries.stage2</v>
      </c>
      <c r="C7" t="str">
        <f>+"skill."&amp;SUBSTITUTE(SUBSTITUTE(LOWER(pictures.concat[[#This Row],[Hero]])," ",""),"-","")</f>
        <v>skill.aries</v>
      </c>
      <c r="D7" t="str">
        <f>+"talent1."&amp;_xlfn.IFNA(SUBSTITUTE(SUBSTITUTE(LOWER(INDEX(heroes[Talent],MATCH(pictures.concat[[#This Row],[Hero]],heroes[Hero],0)))," ",""),"'",""),"empty")</f>
        <v>talent1.revitalize</v>
      </c>
      <c r="E7" t="str">
        <f>+"talent2."&amp;_xlfn.IFNA(SUBSTITUTE(LOWER(INDEX(pictures.talent2[Hero],MATCH(pictures.concat[[#This Row],[Hero]],pictures.talent2[Hero],0)))," ",""),"empty")</f>
        <v>talent2.empty</v>
      </c>
      <c r="F7" t="str">
        <f>+"crest."&amp;_xlfn.IFNA(IF(INDEX(heroes[Crest Set],MATCH(pictures.concat[[#This Row],[Hero]],heroes[Hero],0))="","empty",SUBSTITUTE(LOWER(INDEX(heroes[Crest Set],MATCH(pictures.concat[[#This Row],[Hero]],heroes[Hero],0)))," ","")),"empty")</f>
        <v>crest.psyshield</v>
      </c>
      <c r="H7" t="s">
        <v>167</v>
      </c>
      <c r="I7" t="str">
        <f>+"concat."&amp;SUBSTITUTE(SUBSTITUTE(LOWER(pictures.concat[[#This Row],[Hero]])," ",""),"-","")&amp;"."</f>
        <v>concat.aries.</v>
      </c>
      <c r="J7">
        <v>1</v>
      </c>
      <c r="K7">
        <v>2</v>
      </c>
      <c r="L7">
        <v>3</v>
      </c>
      <c r="M7">
        <v>4</v>
      </c>
      <c r="N7">
        <v>5</v>
      </c>
      <c r="O7" t="s">
        <v>184</v>
      </c>
      <c r="P7" t="s">
        <v>174</v>
      </c>
      <c r="Q7" t="s">
        <v>175</v>
      </c>
      <c r="R7" t="s">
        <v>176</v>
      </c>
      <c r="S7" t="s">
        <v>182</v>
      </c>
      <c r="T7" t="s">
        <v>183</v>
      </c>
      <c r="U7" t="s">
        <v>177</v>
      </c>
      <c r="V7">
        <f>+ROW(pictures.concat[[#This Row],[Hero]])</f>
        <v>7</v>
      </c>
      <c r="W7" t="s">
        <v>185</v>
      </c>
      <c r="X7" t="str">
        <f t="shared" si="0"/>
        <v>&lt;definedName name="concat.aries.1"&gt;INDIRECT('pictures'!$B$7)&lt;/definedName&gt;</v>
      </c>
      <c r="Y7" s="124" t="str">
        <f t="shared" si="1"/>
        <v>&lt;definedName name="concat.aries.2"&gt;INDIRECT('pictures'!$C$7)&lt;/definedName&gt;</v>
      </c>
      <c r="Z7" s="124" t="str">
        <f t="shared" si="2"/>
        <v>&lt;definedName name="concat.aries.3"&gt;INDIRECT('pictures'!$D$7)&lt;/definedName&gt;</v>
      </c>
      <c r="AA7" s="124" t="str">
        <f t="shared" si="3"/>
        <v>&lt;definedName name="concat.aries.4"&gt;INDIRECT('pictures'!$E$7)&lt;/definedName&gt;</v>
      </c>
      <c r="AB7" s="124" t="str">
        <f t="shared" si="4"/>
        <v>&lt;definedName name="concat.aries.5"&gt;INDIRECT('pictures'!$F$7)&lt;/definedName&gt;</v>
      </c>
      <c r="AC7" s="123"/>
      <c r="AD7" s="123"/>
      <c r="AE7" s="123"/>
      <c r="AF7" s="123"/>
      <c r="AG7" s="123"/>
    </row>
    <row r="8" spans="1:33" x14ac:dyDescent="0.25">
      <c r="A8" t="s">
        <v>21</v>
      </c>
      <c r="B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hero.assassin.stage1</v>
      </c>
      <c r="C8" t="str">
        <f>+"skill."&amp;SUBSTITUTE(SUBSTITUTE(LOWER(pictures.concat[[#This Row],[Hero]])," ",""),"-","")</f>
        <v>skill.assassin</v>
      </c>
      <c r="D8" t="str">
        <f>+"talent1."&amp;_xlfn.IFNA(SUBSTITUTE(SUBSTITUTE(LOWER(INDEX(heroes[Talent],MATCH(pictures.concat[[#This Row],[Hero]],heroes[Hero],0)))," ",""),"'",""),"empty")</f>
        <v>talent1.berserk</v>
      </c>
      <c r="E8" t="str">
        <f>+"talent2."&amp;_xlfn.IFNA(SUBSTITUTE(LOWER(INDEX(pictures.talent2[Hero],MATCH(pictures.concat[[#This Row],[Hero]],pictures.talent2[Hero],0)))," ",""),"empty")</f>
        <v>talent2.empty</v>
      </c>
      <c r="F8" t="str">
        <f>+"crest."&amp;_xlfn.IFNA(IF(INDEX(heroes[Crest Set],MATCH(pictures.concat[[#This Row],[Hero]],heroes[Hero],0))="","empty",SUBSTITUTE(LOWER(INDEX(heroes[Crest Set],MATCH(pictures.concat[[#This Row],[Hero]],heroes[Hero],0)))," ","")),"empty")</f>
        <v>crest.empty</v>
      </c>
      <c r="H8" t="s">
        <v>167</v>
      </c>
      <c r="I8" t="str">
        <f>+"concat."&amp;SUBSTITUTE(SUBSTITUTE(LOWER(pictures.concat[[#This Row],[Hero]])," ",""),"-","")&amp;"."</f>
        <v>concat.assassin.</v>
      </c>
      <c r="J8">
        <v>1</v>
      </c>
      <c r="K8">
        <v>2</v>
      </c>
      <c r="L8">
        <v>3</v>
      </c>
      <c r="M8">
        <v>4</v>
      </c>
      <c r="N8">
        <v>5</v>
      </c>
      <c r="O8" t="s">
        <v>184</v>
      </c>
      <c r="P8" t="s">
        <v>174</v>
      </c>
      <c r="Q8" t="s">
        <v>175</v>
      </c>
      <c r="R8" t="s">
        <v>176</v>
      </c>
      <c r="S8" t="s">
        <v>182</v>
      </c>
      <c r="T8" t="s">
        <v>183</v>
      </c>
      <c r="U8" t="s">
        <v>177</v>
      </c>
      <c r="V8">
        <f>+ROW(pictures.concat[[#This Row],[Hero]])</f>
        <v>8</v>
      </c>
      <c r="W8" t="s">
        <v>185</v>
      </c>
      <c r="X8" t="str">
        <f t="shared" si="0"/>
        <v>&lt;definedName name="concat.assassin.1"&gt;INDIRECT('pictures'!$B$8)&lt;/definedName&gt;</v>
      </c>
      <c r="Y8" s="124" t="str">
        <f t="shared" si="1"/>
        <v>&lt;definedName name="concat.assassin.2"&gt;INDIRECT('pictures'!$C$8)&lt;/definedName&gt;</v>
      </c>
      <c r="Z8" s="124" t="str">
        <f t="shared" si="2"/>
        <v>&lt;definedName name="concat.assassin.3"&gt;INDIRECT('pictures'!$D$8)&lt;/definedName&gt;</v>
      </c>
      <c r="AA8" s="124" t="str">
        <f t="shared" si="3"/>
        <v>&lt;definedName name="concat.assassin.4"&gt;INDIRECT('pictures'!$E$8)&lt;/definedName&gt;</v>
      </c>
      <c r="AB8" s="124" t="str">
        <f t="shared" si="4"/>
        <v>&lt;definedName name="concat.assassin.5"&gt;INDIRECT('pictures'!$F$8)&lt;/definedName&gt;</v>
      </c>
      <c r="AC8" s="123"/>
      <c r="AD8" s="123"/>
      <c r="AE8" s="123"/>
      <c r="AF8" s="123"/>
      <c r="AG8" s="123"/>
    </row>
    <row r="9" spans="1:33" x14ac:dyDescent="0.25">
      <c r="A9" t="s">
        <v>23</v>
      </c>
      <c r="B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hero.atlanticore.stage2</v>
      </c>
      <c r="C9" t="str">
        <f>+"skill."&amp;SUBSTITUTE(SUBSTITUTE(LOWER(pictures.concat[[#This Row],[Hero]])," ",""),"-","")</f>
        <v>skill.atlanticore</v>
      </c>
      <c r="D9" t="str">
        <f>+"talent1."&amp;_xlfn.IFNA(SUBSTITUTE(SUBSTITUTE(LOWER(INDEX(heroes[Talent],MATCH(pictures.concat[[#This Row],[Hero]],heroes[Hero],0)))," ",""),"'",""),"empty")</f>
        <v>talent1.revive</v>
      </c>
      <c r="E9" t="str">
        <f>+"talent2."&amp;_xlfn.IFNA(SUBSTITUTE(LOWER(INDEX(pictures.talent2[Hero],MATCH(pictures.concat[[#This Row],[Hero]],pictures.talent2[Hero],0)))," ",""),"empty")</f>
        <v>talent2.empty</v>
      </c>
      <c r="F9" t="str">
        <f>+"crest."&amp;_xlfn.IFNA(IF(INDEX(heroes[Crest Set],MATCH(pictures.concat[[#This Row],[Hero]],heroes[Hero],0))="","empty",SUBSTITUTE(LOWER(INDEX(heroes[Crest Set],MATCH(pictures.concat[[#This Row],[Hero]],heroes[Hero],0)))," ","")),"empty")</f>
        <v>crest.revitalize</v>
      </c>
      <c r="H9" t="s">
        <v>167</v>
      </c>
      <c r="I9" t="str">
        <f>+"concat."&amp;SUBSTITUTE(SUBSTITUTE(LOWER(pictures.concat[[#This Row],[Hero]])," ",""),"-","")&amp;"."</f>
        <v>concat.atlanticore.</v>
      </c>
      <c r="J9">
        <v>1</v>
      </c>
      <c r="K9">
        <v>2</v>
      </c>
      <c r="L9">
        <v>3</v>
      </c>
      <c r="M9">
        <v>4</v>
      </c>
      <c r="N9">
        <v>5</v>
      </c>
      <c r="O9" t="s">
        <v>184</v>
      </c>
      <c r="P9" t="s">
        <v>174</v>
      </c>
      <c r="Q9" t="s">
        <v>175</v>
      </c>
      <c r="R9" t="s">
        <v>176</v>
      </c>
      <c r="S9" t="s">
        <v>182</v>
      </c>
      <c r="T9" t="s">
        <v>183</v>
      </c>
      <c r="U9" t="s">
        <v>177</v>
      </c>
      <c r="V9">
        <f>+ROW(pictures.concat[[#This Row],[Hero]])</f>
        <v>9</v>
      </c>
      <c r="W9" t="s">
        <v>185</v>
      </c>
      <c r="X9" t="str">
        <f t="shared" si="0"/>
        <v>&lt;definedName name="concat.atlanticore.1"&gt;INDIRECT('pictures'!$B$9)&lt;/definedName&gt;</v>
      </c>
      <c r="Y9" s="124" t="str">
        <f t="shared" si="1"/>
        <v>&lt;definedName name="concat.atlanticore.2"&gt;INDIRECT('pictures'!$C$9)&lt;/definedName&gt;</v>
      </c>
      <c r="Z9" s="124" t="str">
        <f t="shared" si="2"/>
        <v>&lt;definedName name="concat.atlanticore.3"&gt;INDIRECT('pictures'!$D$9)&lt;/definedName&gt;</v>
      </c>
      <c r="AA9" s="124" t="str">
        <f t="shared" si="3"/>
        <v>&lt;definedName name="concat.atlanticore.4"&gt;INDIRECT('pictures'!$E$9)&lt;/definedName&gt;</v>
      </c>
      <c r="AB9" s="124" t="str">
        <f t="shared" si="4"/>
        <v>&lt;definedName name="concat.atlanticore.5"&gt;INDIRECT('pictures'!$F$9)&lt;/definedName&gt;</v>
      </c>
      <c r="AC9" s="123"/>
      <c r="AD9" s="123"/>
      <c r="AE9" s="123"/>
      <c r="AF9" s="123"/>
      <c r="AG9" s="123"/>
    </row>
    <row r="10" spans="1:33" x14ac:dyDescent="0.25">
      <c r="A10" t="s">
        <v>25</v>
      </c>
      <c r="B1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hero.beasttamer.stage1</v>
      </c>
      <c r="C10" t="str">
        <f>+"skill."&amp;SUBSTITUTE(SUBSTITUTE(LOWER(pictures.concat[[#This Row],[Hero]])," ",""),"-","")</f>
        <v>skill.beasttamer</v>
      </c>
      <c r="D10" t="str">
        <f>+"talent1."&amp;_xlfn.IFNA(SUBSTITUTE(SUBSTITUTE(LOWER(INDEX(heroes[Talent],MATCH(pictures.concat[[#This Row],[Hero]],heroes[Hero],0)))," ",""),"'",""),"empty")</f>
        <v>talent1.wargod</v>
      </c>
      <c r="E10" t="str">
        <f>+"talent2."&amp;_xlfn.IFNA(SUBSTITUTE(LOWER(INDEX(pictures.talent2[Hero],MATCH(pictures.concat[[#This Row],[Hero]],pictures.talent2[Hero],0)))," ",""),"empty")</f>
        <v>talent2.beasttamer</v>
      </c>
      <c r="F10" t="str">
        <f>+"crest."&amp;_xlfn.IFNA(IF(INDEX(heroes[Crest Set],MATCH(pictures.concat[[#This Row],[Hero]],heroes[Hero],0))="","empty",SUBSTITUTE(LOWER(INDEX(heroes[Crest Set],MATCH(pictures.concat[[#This Row],[Hero]],heroes[Hero],0)))," ","")),"empty")</f>
        <v>crest.empty</v>
      </c>
      <c r="H10" t="s">
        <v>167</v>
      </c>
      <c r="I10" t="str">
        <f>+"concat."&amp;SUBSTITUTE(SUBSTITUTE(LOWER(pictures.concat[[#This Row],[Hero]])," ",""),"-","")&amp;"."</f>
        <v>concat.beasttamer.</v>
      </c>
      <c r="J10">
        <v>1</v>
      </c>
      <c r="K10">
        <v>2</v>
      </c>
      <c r="L10">
        <v>3</v>
      </c>
      <c r="M10">
        <v>4</v>
      </c>
      <c r="N10">
        <v>5</v>
      </c>
      <c r="O10" t="s">
        <v>184</v>
      </c>
      <c r="P10" t="s">
        <v>174</v>
      </c>
      <c r="Q10" t="s">
        <v>175</v>
      </c>
      <c r="R10" t="s">
        <v>176</v>
      </c>
      <c r="S10" t="s">
        <v>182</v>
      </c>
      <c r="T10" t="s">
        <v>183</v>
      </c>
      <c r="U10" t="s">
        <v>177</v>
      </c>
      <c r="V10">
        <f>+ROW(pictures.concat[[#This Row],[Hero]])</f>
        <v>10</v>
      </c>
      <c r="W10" t="s">
        <v>185</v>
      </c>
      <c r="X10" t="str">
        <f t="shared" si="0"/>
        <v>&lt;definedName name="concat.beasttamer.1"&gt;INDIRECT('pictures'!$B$10)&lt;/definedName&gt;</v>
      </c>
      <c r="Y10" s="124" t="str">
        <f t="shared" si="1"/>
        <v>&lt;definedName name="concat.beasttamer.2"&gt;INDIRECT('pictures'!$C$10)&lt;/definedName&gt;</v>
      </c>
      <c r="Z10" s="124" t="str">
        <f t="shared" si="2"/>
        <v>&lt;definedName name="concat.beasttamer.3"&gt;INDIRECT('pictures'!$D$10)&lt;/definedName&gt;</v>
      </c>
      <c r="AA10" s="124" t="str">
        <f t="shared" si="3"/>
        <v>&lt;definedName name="concat.beasttamer.4"&gt;INDIRECT('pictures'!$E$10)&lt;/definedName&gt;</v>
      </c>
      <c r="AB10" s="124" t="str">
        <f t="shared" si="4"/>
        <v>&lt;definedName name="concat.beasttamer.5"&gt;INDIRECT('pictures'!$F$10)&lt;/definedName&gt;</v>
      </c>
      <c r="AC10" s="123"/>
      <c r="AD10" s="123"/>
      <c r="AE10" s="123"/>
      <c r="AF10" s="123"/>
      <c r="AG10" s="123"/>
    </row>
    <row r="11" spans="1:33" x14ac:dyDescent="0.25">
      <c r="A11" t="s">
        <v>27</v>
      </c>
      <c r="B1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hero.candykane.stage1</v>
      </c>
      <c r="C11" t="str">
        <f>+"skill."&amp;SUBSTITUTE(SUBSTITUTE(LOWER(pictures.concat[[#This Row],[Hero]])," ",""),"-","")</f>
        <v>skill.candykane</v>
      </c>
      <c r="D11" t="str">
        <f>+"talent1."&amp;_xlfn.IFNA(SUBSTITUTE(SUBSTITUTE(LOWER(INDEX(heroes[Talent],MATCH(pictures.concat[[#This Row],[Hero]],heroes[Hero],0)))," ",""),"'",""),"empty")</f>
        <v>talent1.bladeshell</v>
      </c>
      <c r="E11" t="str">
        <f>+"talent2."&amp;_xlfn.IFNA(SUBSTITUTE(LOWER(INDEX(pictures.talent2[Hero],MATCH(pictures.concat[[#This Row],[Hero]],pictures.talent2[Hero],0)))," ",""),"empty")</f>
        <v>talent2.candykane</v>
      </c>
      <c r="F11" t="str">
        <f>+"crest."&amp;_xlfn.IFNA(IF(INDEX(heroes[Crest Set],MATCH(pictures.concat[[#This Row],[Hero]],heroes[Hero],0))="","empty",SUBSTITUTE(LOWER(INDEX(heroes[Crest Set],MATCH(pictures.concat[[#This Row],[Hero]],heroes[Hero],0)))," ","")),"empty")</f>
        <v>crest.empty</v>
      </c>
      <c r="H11" t="s">
        <v>167</v>
      </c>
      <c r="I11" t="str">
        <f>+"concat."&amp;SUBSTITUTE(SUBSTITUTE(LOWER(pictures.concat[[#This Row],[Hero]])," ",""),"-","")&amp;"."</f>
        <v>concat.candykane.</v>
      </c>
      <c r="J11">
        <v>1</v>
      </c>
      <c r="K11">
        <v>2</v>
      </c>
      <c r="L11">
        <v>3</v>
      </c>
      <c r="M11">
        <v>4</v>
      </c>
      <c r="N11">
        <v>5</v>
      </c>
      <c r="O11" t="s">
        <v>184</v>
      </c>
      <c r="P11" t="s">
        <v>174</v>
      </c>
      <c r="Q11" t="s">
        <v>175</v>
      </c>
      <c r="R11" t="s">
        <v>176</v>
      </c>
      <c r="S11" t="s">
        <v>182</v>
      </c>
      <c r="T11" t="s">
        <v>183</v>
      </c>
      <c r="U11" t="s">
        <v>177</v>
      </c>
      <c r="V11">
        <f>+ROW(pictures.concat[[#This Row],[Hero]])</f>
        <v>11</v>
      </c>
      <c r="W11" t="s">
        <v>185</v>
      </c>
      <c r="X11" t="str">
        <f t="shared" si="0"/>
        <v>&lt;definedName name="concat.candykane.1"&gt;INDIRECT('pictures'!$B$11)&lt;/definedName&gt;</v>
      </c>
      <c r="Y11" s="124" t="str">
        <f t="shared" si="1"/>
        <v>&lt;definedName name="concat.candykane.2"&gt;INDIRECT('pictures'!$C$11)&lt;/definedName&gt;</v>
      </c>
      <c r="Z11" s="124" t="str">
        <f t="shared" si="2"/>
        <v>&lt;definedName name="concat.candykane.3"&gt;INDIRECT('pictures'!$D$11)&lt;/definedName&gt;</v>
      </c>
      <c r="AA11" s="124" t="str">
        <f t="shared" si="3"/>
        <v>&lt;definedName name="concat.candykane.4"&gt;INDIRECT('pictures'!$E$11)&lt;/definedName&gt;</v>
      </c>
      <c r="AB11" s="124" t="str">
        <f t="shared" si="4"/>
        <v>&lt;definedName name="concat.candykane.5"&gt;INDIRECT('pictures'!$F$11)&lt;/definedName&gt;</v>
      </c>
      <c r="AC11" s="123"/>
      <c r="AD11" s="123"/>
      <c r="AE11" s="123"/>
      <c r="AF11" s="123"/>
      <c r="AG11" s="123"/>
    </row>
    <row r="12" spans="1:33" x14ac:dyDescent="0.25">
      <c r="A12" t="s">
        <v>29</v>
      </c>
      <c r="B1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hero.champion.stage1</v>
      </c>
      <c r="C12" t="str">
        <f>+"skill."&amp;SUBSTITUTE(SUBSTITUTE(LOWER(pictures.concat[[#This Row],[Hero]])," ",""),"-","")</f>
        <v>skill.champion</v>
      </c>
      <c r="D12" t="str">
        <f>+"talent1."&amp;_xlfn.IFNA(SUBSTITUTE(SUBSTITUTE(LOWER(INDEX(heroes[Talent],MATCH(pictures.concat[[#This Row],[Hero]],heroes[Hero],0)))," ",""),"'",""),"empty")</f>
        <v>talent1.heavyblow</v>
      </c>
      <c r="E12" t="str">
        <f>+"talent2."&amp;_xlfn.IFNA(SUBSTITUTE(LOWER(INDEX(pictures.talent2[Hero],MATCH(pictures.concat[[#This Row],[Hero]],pictures.talent2[Hero],0)))," ",""),"empty")</f>
        <v>talent2.empty</v>
      </c>
      <c r="F12" t="str">
        <f>+"crest."&amp;_xlfn.IFNA(IF(INDEX(heroes[Crest Set],MATCH(pictures.concat[[#This Row],[Hero]],heroes[Hero],0))="","empty",SUBSTITUTE(LOWER(INDEX(heroes[Crest Set],MATCH(pictures.concat[[#This Row],[Hero]],heroes[Hero],0)))," ","")),"empty")</f>
        <v>crest.empty</v>
      </c>
      <c r="H12" t="s">
        <v>167</v>
      </c>
      <c r="I12" t="str">
        <f>+"concat."&amp;SUBSTITUTE(SUBSTITUTE(LOWER(pictures.concat[[#This Row],[Hero]])," ",""),"-","")&amp;"."</f>
        <v>concat.champion.</v>
      </c>
      <c r="J12">
        <v>1</v>
      </c>
      <c r="K12">
        <v>2</v>
      </c>
      <c r="L12">
        <v>3</v>
      </c>
      <c r="M12">
        <v>4</v>
      </c>
      <c r="N12">
        <v>5</v>
      </c>
      <c r="O12" t="s">
        <v>184</v>
      </c>
      <c r="P12" t="s">
        <v>174</v>
      </c>
      <c r="Q12" t="s">
        <v>175</v>
      </c>
      <c r="R12" t="s">
        <v>176</v>
      </c>
      <c r="S12" t="s">
        <v>182</v>
      </c>
      <c r="T12" t="s">
        <v>183</v>
      </c>
      <c r="U12" t="s">
        <v>177</v>
      </c>
      <c r="V12">
        <f>+ROW(pictures.concat[[#This Row],[Hero]])</f>
        <v>12</v>
      </c>
      <c r="W12" t="s">
        <v>185</v>
      </c>
      <c r="X12" t="str">
        <f t="shared" si="0"/>
        <v>&lt;definedName name="concat.champion.1"&gt;INDIRECT('pictures'!$B$12)&lt;/definedName&gt;</v>
      </c>
      <c r="Y12" s="124" t="str">
        <f t="shared" si="1"/>
        <v>&lt;definedName name="concat.champion.2"&gt;INDIRECT('pictures'!$C$12)&lt;/definedName&gt;</v>
      </c>
      <c r="Z12" s="124" t="str">
        <f t="shared" si="2"/>
        <v>&lt;definedName name="concat.champion.3"&gt;INDIRECT('pictures'!$D$12)&lt;/definedName&gt;</v>
      </c>
      <c r="AA12" s="124" t="str">
        <f t="shared" si="3"/>
        <v>&lt;definedName name="concat.champion.4"&gt;INDIRECT('pictures'!$E$12)&lt;/definedName&gt;</v>
      </c>
      <c r="AB12" s="124" t="str">
        <f t="shared" si="4"/>
        <v>&lt;definedName name="concat.champion.5"&gt;INDIRECT('pictures'!$F$12)&lt;/definedName&gt;</v>
      </c>
      <c r="AC12" s="123"/>
      <c r="AD12" s="123"/>
      <c r="AE12" s="123"/>
      <c r="AF12" s="123"/>
      <c r="AG12" s="123"/>
    </row>
    <row r="13" spans="1:33" x14ac:dyDescent="0.25">
      <c r="A13" t="s">
        <v>31</v>
      </c>
      <c r="B1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hero.cupid.stage2</v>
      </c>
      <c r="C13" t="str">
        <f>+"skill."&amp;SUBSTITUTE(SUBSTITUTE(LOWER(pictures.concat[[#This Row],[Hero]])," ",""),"-","")</f>
        <v>skill.cupid</v>
      </c>
      <c r="D13" t="str">
        <f>+"talent1."&amp;_xlfn.IFNA(SUBSTITUTE(SUBSTITUTE(LOWER(INDEX(heroes[Talent],MATCH(pictures.concat[[#This Row],[Hero]],heroes[Hero],0)))," ",""),"'",""),"empty")</f>
        <v>talent1.revitalize</v>
      </c>
      <c r="E13" t="str">
        <f>+"talent2."&amp;_xlfn.IFNA(SUBSTITUTE(LOWER(INDEX(pictures.talent2[Hero],MATCH(pictures.concat[[#This Row],[Hero]],pictures.talent2[Hero],0)))," ",""),"empty")</f>
        <v>talent2.empty</v>
      </c>
      <c r="F13" t="str">
        <f>+"crest."&amp;_xlfn.IFNA(IF(INDEX(heroes[Crest Set],MATCH(pictures.concat[[#This Row],[Hero]],heroes[Hero],0))="","empty",SUBSTITUTE(LOWER(INDEX(heroes[Crest Set],MATCH(pictures.concat[[#This Row],[Hero]],heroes[Hero],0)))," ","")),"empty")</f>
        <v>crest.tenacity</v>
      </c>
      <c r="H13" t="s">
        <v>167</v>
      </c>
      <c r="I13" t="str">
        <f>+"concat."&amp;SUBSTITUTE(SUBSTITUTE(LOWER(pictures.concat[[#This Row],[Hero]])," ",""),"-","")&amp;"."</f>
        <v>concat.cupid.</v>
      </c>
      <c r="J13">
        <v>1</v>
      </c>
      <c r="K13">
        <v>2</v>
      </c>
      <c r="L13">
        <v>3</v>
      </c>
      <c r="M13">
        <v>4</v>
      </c>
      <c r="N13">
        <v>5</v>
      </c>
      <c r="O13" t="s">
        <v>184</v>
      </c>
      <c r="P13" t="s">
        <v>174</v>
      </c>
      <c r="Q13" t="s">
        <v>175</v>
      </c>
      <c r="R13" t="s">
        <v>176</v>
      </c>
      <c r="S13" t="s">
        <v>182</v>
      </c>
      <c r="T13" t="s">
        <v>183</v>
      </c>
      <c r="U13" t="s">
        <v>177</v>
      </c>
      <c r="V13">
        <f>+ROW(pictures.concat[[#This Row],[Hero]])</f>
        <v>13</v>
      </c>
      <c r="W13" t="s">
        <v>185</v>
      </c>
      <c r="X13" t="str">
        <f t="shared" si="0"/>
        <v>&lt;definedName name="concat.cupid.1"&gt;INDIRECT('pictures'!$B$13)&lt;/definedName&gt;</v>
      </c>
      <c r="Y13" s="124" t="str">
        <f t="shared" si="1"/>
        <v>&lt;definedName name="concat.cupid.2"&gt;INDIRECT('pictures'!$C$13)&lt;/definedName&gt;</v>
      </c>
      <c r="Z13" s="124" t="str">
        <f t="shared" si="2"/>
        <v>&lt;definedName name="concat.cupid.3"&gt;INDIRECT('pictures'!$D$13)&lt;/definedName&gt;</v>
      </c>
      <c r="AA13" s="124" t="str">
        <f t="shared" si="3"/>
        <v>&lt;definedName name="concat.cupid.4"&gt;INDIRECT('pictures'!$E$13)&lt;/definedName&gt;</v>
      </c>
      <c r="AB13" s="124" t="str">
        <f t="shared" si="4"/>
        <v>&lt;definedName name="concat.cupid.5"&gt;INDIRECT('pictures'!$F$13)&lt;/definedName&gt;</v>
      </c>
      <c r="AC13" s="123"/>
      <c r="AD13" s="123"/>
      <c r="AE13" s="123"/>
      <c r="AF13" s="123"/>
      <c r="AG13" s="123"/>
    </row>
    <row r="14" spans="1:33" x14ac:dyDescent="0.25">
      <c r="A14" t="s">
        <v>33</v>
      </c>
      <c r="B1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hero.cyclops.stage1</v>
      </c>
      <c r="C14" t="str">
        <f>+"skill."&amp;SUBSTITUTE(SUBSTITUTE(LOWER(pictures.concat[[#This Row],[Hero]])," ",""),"-","")</f>
        <v>skill.cyclops</v>
      </c>
      <c r="D14" t="str">
        <f>+"talent1."&amp;_xlfn.IFNA(SUBSTITUTE(SUBSTITUTE(LOWER(INDEX(heroes[Talent],MATCH(pictures.concat[[#This Row],[Hero]],heroes[Hero],0)))," ",""),"'",""),"empty")</f>
        <v>talent1.revitalize</v>
      </c>
      <c r="E14" t="str">
        <f>+"talent2."&amp;_xlfn.IFNA(SUBSTITUTE(LOWER(INDEX(pictures.talent2[Hero],MATCH(pictures.concat[[#This Row],[Hero]],pictures.talent2[Hero],0)))," ",""),"empty")</f>
        <v>talent2.empty</v>
      </c>
      <c r="F14" t="str">
        <f>+"crest."&amp;_xlfn.IFNA(IF(INDEX(heroes[Crest Set],MATCH(pictures.concat[[#This Row],[Hero]],heroes[Hero],0))="","empty",SUBSTITUTE(LOWER(INDEX(heroes[Crest Set],MATCH(pictures.concat[[#This Row],[Hero]],heroes[Hero],0)))," ","")),"empty")</f>
        <v>crest.empty</v>
      </c>
      <c r="H14" t="s">
        <v>167</v>
      </c>
      <c r="I14" t="str">
        <f>+"concat."&amp;SUBSTITUTE(SUBSTITUTE(LOWER(pictures.concat[[#This Row],[Hero]])," ",""),"-","")&amp;"."</f>
        <v>concat.cyclops.</v>
      </c>
      <c r="J14">
        <v>1</v>
      </c>
      <c r="K14">
        <v>2</v>
      </c>
      <c r="L14">
        <v>3</v>
      </c>
      <c r="M14">
        <v>4</v>
      </c>
      <c r="N14">
        <v>5</v>
      </c>
      <c r="O14" t="s">
        <v>184</v>
      </c>
      <c r="P14" t="s">
        <v>174</v>
      </c>
      <c r="Q14" t="s">
        <v>175</v>
      </c>
      <c r="R14" t="s">
        <v>176</v>
      </c>
      <c r="S14" t="s">
        <v>182</v>
      </c>
      <c r="T14" t="s">
        <v>183</v>
      </c>
      <c r="U14" t="s">
        <v>177</v>
      </c>
      <c r="V14">
        <f>+ROW(pictures.concat[[#This Row],[Hero]])</f>
        <v>14</v>
      </c>
      <c r="W14" t="s">
        <v>185</v>
      </c>
      <c r="X14" t="str">
        <f t="shared" si="0"/>
        <v>&lt;definedName name="concat.cyclops.1"&gt;INDIRECT('pictures'!$B$14)&lt;/definedName&gt;</v>
      </c>
      <c r="Y14" s="124" t="str">
        <f t="shared" si="1"/>
        <v>&lt;definedName name="concat.cyclops.2"&gt;INDIRECT('pictures'!$C$14)&lt;/definedName&gt;</v>
      </c>
      <c r="Z14" s="124" t="str">
        <f t="shared" si="2"/>
        <v>&lt;definedName name="concat.cyclops.3"&gt;INDIRECT('pictures'!$D$14)&lt;/definedName&gt;</v>
      </c>
      <c r="AA14" s="124" t="str">
        <f t="shared" si="3"/>
        <v>&lt;definedName name="concat.cyclops.4"&gt;INDIRECT('pictures'!$E$14)&lt;/definedName&gt;</v>
      </c>
      <c r="AB14" s="124" t="str">
        <f t="shared" si="4"/>
        <v>&lt;definedName name="concat.cyclops.5"&gt;INDIRECT('pictures'!$F$14)&lt;/definedName&gt;</v>
      </c>
      <c r="AC14" s="123"/>
      <c r="AD14" s="123"/>
      <c r="AE14" s="123"/>
      <c r="AF14" s="123"/>
      <c r="AG14" s="123"/>
    </row>
    <row r="15" spans="1:33" x14ac:dyDescent="0.25">
      <c r="A15" t="s">
        <v>35</v>
      </c>
      <c r="B15"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hero.deathknight.stage1</v>
      </c>
      <c r="C15" t="str">
        <f>+"skill."&amp;SUBSTITUTE(SUBSTITUTE(LOWER(pictures.concat[[#This Row],[Hero]])," ",""),"-","")</f>
        <v>skill.deathknight</v>
      </c>
      <c r="D15" t="str">
        <f>+"talent1."&amp;_xlfn.IFNA(SUBSTITUTE(SUBSTITUTE(LOWER(INDEX(heroes[Talent],MATCH(pictures.concat[[#This Row],[Hero]],heroes[Hero],0)))," ",""),"'",""),"empty")</f>
        <v>talent1.lifedrain</v>
      </c>
      <c r="E15" t="str">
        <f>+"talent2."&amp;_xlfn.IFNA(SUBSTITUTE(LOWER(INDEX(pictures.talent2[Hero],MATCH(pictures.concat[[#This Row],[Hero]],pictures.talent2[Hero],0)))," ",""),"empty")</f>
        <v>talent2.deathknight</v>
      </c>
      <c r="F15" t="str">
        <f>+"crest."&amp;_xlfn.IFNA(IF(INDEX(heroes[Crest Set],MATCH(pictures.concat[[#This Row],[Hero]],heroes[Hero],0))="","empty",SUBSTITUTE(LOWER(INDEX(heroes[Crest Set],MATCH(pictures.concat[[#This Row],[Hero]],heroes[Hero],0)))," ","")),"empty")</f>
        <v>crest.empty</v>
      </c>
      <c r="H15" t="s">
        <v>167</v>
      </c>
      <c r="I15" t="str">
        <f>+"concat."&amp;SUBSTITUTE(SUBSTITUTE(LOWER(pictures.concat[[#This Row],[Hero]])," ",""),"-","")&amp;"."</f>
        <v>concat.deathknight.</v>
      </c>
      <c r="J15">
        <v>1</v>
      </c>
      <c r="K15">
        <v>2</v>
      </c>
      <c r="L15">
        <v>3</v>
      </c>
      <c r="M15">
        <v>4</v>
      </c>
      <c r="N15">
        <v>5</v>
      </c>
      <c r="O15" t="s">
        <v>184</v>
      </c>
      <c r="P15" t="s">
        <v>174</v>
      </c>
      <c r="Q15" t="s">
        <v>175</v>
      </c>
      <c r="R15" t="s">
        <v>176</v>
      </c>
      <c r="S15" t="s">
        <v>182</v>
      </c>
      <c r="T15" t="s">
        <v>183</v>
      </c>
      <c r="U15" t="s">
        <v>177</v>
      </c>
      <c r="V15">
        <f>+ROW(pictures.concat[[#This Row],[Hero]])</f>
        <v>15</v>
      </c>
      <c r="W15" t="s">
        <v>185</v>
      </c>
      <c r="X15" t="str">
        <f t="shared" si="0"/>
        <v>&lt;definedName name="concat.deathknight.1"&gt;INDIRECT('pictures'!$B$15)&lt;/definedName&gt;</v>
      </c>
      <c r="Y15" s="124" t="str">
        <f t="shared" si="1"/>
        <v>&lt;definedName name="concat.deathknight.2"&gt;INDIRECT('pictures'!$C$15)&lt;/definedName&gt;</v>
      </c>
      <c r="Z15" s="124" t="str">
        <f t="shared" si="2"/>
        <v>&lt;definedName name="concat.deathknight.3"&gt;INDIRECT('pictures'!$D$15)&lt;/definedName&gt;</v>
      </c>
      <c r="AA15" s="124" t="str">
        <f t="shared" si="3"/>
        <v>&lt;definedName name="concat.deathknight.4"&gt;INDIRECT('pictures'!$E$15)&lt;/definedName&gt;</v>
      </c>
      <c r="AB15" s="124" t="str">
        <f t="shared" si="4"/>
        <v>&lt;definedName name="concat.deathknight.5"&gt;INDIRECT('pictures'!$F$15)&lt;/definedName&gt;</v>
      </c>
      <c r="AC15" s="123"/>
      <c r="AD15" s="123"/>
      <c r="AE15" s="123"/>
      <c r="AF15" s="123"/>
      <c r="AG15" s="123"/>
    </row>
    <row r="16" spans="1:33" x14ac:dyDescent="0.25">
      <c r="A16" t="s">
        <v>37</v>
      </c>
      <c r="B1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hero.demogorgon.stage0</v>
      </c>
      <c r="C16" t="str">
        <f>+"skill."&amp;SUBSTITUTE(SUBSTITUTE(LOWER(pictures.concat[[#This Row],[Hero]])," ",""),"-","")</f>
        <v>skill.demogorgon</v>
      </c>
      <c r="D16" t="str">
        <f>+"talent1."&amp;_xlfn.IFNA(SUBSTITUTE(SUBSTITUTE(LOWER(INDEX(heroes[Talent],MATCH(pictures.concat[[#This Row],[Hero]],heroes[Hero],0)))," ",""),"'",""),"empty")</f>
        <v>talent1.empty</v>
      </c>
      <c r="E16" t="str">
        <f>+"talent2."&amp;_xlfn.IFNA(SUBSTITUTE(LOWER(INDEX(pictures.talent2[Hero],MATCH(pictures.concat[[#This Row],[Hero]],pictures.talent2[Hero],0)))," ",""),"empty")</f>
        <v>talent2.empty</v>
      </c>
      <c r="F16" t="str">
        <f>+"crest."&amp;_xlfn.IFNA(IF(INDEX(heroes[Crest Set],MATCH(pictures.concat[[#This Row],[Hero]],heroes[Hero],0))="","empty",SUBSTITUTE(LOWER(INDEX(heroes[Crest Set],MATCH(pictures.concat[[#This Row],[Hero]],heroes[Hero],0)))," ","")),"empty")</f>
        <v>crest.empty</v>
      </c>
      <c r="H16" t="s">
        <v>167</v>
      </c>
      <c r="I16" t="str">
        <f>+"concat."&amp;SUBSTITUTE(SUBSTITUTE(LOWER(pictures.concat[[#This Row],[Hero]])," ",""),"-","")&amp;"."</f>
        <v>concat.demogorgon.</v>
      </c>
      <c r="J16">
        <v>1</v>
      </c>
      <c r="K16">
        <v>2</v>
      </c>
      <c r="L16">
        <v>3</v>
      </c>
      <c r="M16">
        <v>4</v>
      </c>
      <c r="N16">
        <v>5</v>
      </c>
      <c r="O16" t="s">
        <v>184</v>
      </c>
      <c r="P16" t="s">
        <v>174</v>
      </c>
      <c r="Q16" t="s">
        <v>175</v>
      </c>
      <c r="R16" t="s">
        <v>176</v>
      </c>
      <c r="S16" t="s">
        <v>182</v>
      </c>
      <c r="T16" t="s">
        <v>183</v>
      </c>
      <c r="U16" t="s">
        <v>177</v>
      </c>
      <c r="V16">
        <f>+ROW(pictures.concat[[#This Row],[Hero]])</f>
        <v>16</v>
      </c>
      <c r="W16" t="s">
        <v>185</v>
      </c>
      <c r="X16" t="str">
        <f t="shared" si="0"/>
        <v>&lt;definedName name="concat.demogorgon.1"&gt;INDIRECT('pictures'!$B$16)&lt;/definedName&gt;</v>
      </c>
      <c r="Y16" s="124" t="str">
        <f t="shared" si="1"/>
        <v>&lt;definedName name="concat.demogorgon.2"&gt;INDIRECT('pictures'!$C$16)&lt;/definedName&gt;</v>
      </c>
      <c r="Z16" s="124" t="str">
        <f t="shared" si="2"/>
        <v>&lt;definedName name="concat.demogorgon.3"&gt;INDIRECT('pictures'!$D$16)&lt;/definedName&gt;</v>
      </c>
      <c r="AA16" s="124" t="str">
        <f t="shared" si="3"/>
        <v>&lt;definedName name="concat.demogorgon.4"&gt;INDIRECT('pictures'!$E$16)&lt;/definedName&gt;</v>
      </c>
      <c r="AB16" s="124" t="str">
        <f t="shared" si="4"/>
        <v>&lt;definedName name="concat.demogorgon.5"&gt;INDIRECT('pictures'!$F$16)&lt;/definedName&gt;</v>
      </c>
      <c r="AC16" s="123"/>
      <c r="AD16" s="123"/>
      <c r="AE16" s="123"/>
      <c r="AF16" s="123"/>
      <c r="AG16" s="123"/>
    </row>
    <row r="17" spans="1:33" x14ac:dyDescent="0.25">
      <c r="A17" t="s">
        <v>39</v>
      </c>
      <c r="B1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hero.destroyer.stage0</v>
      </c>
      <c r="C17" t="str">
        <f>+"skill."&amp;SUBSTITUTE(SUBSTITUTE(LOWER(pictures.concat[[#This Row],[Hero]])," ",""),"-","")</f>
        <v>skill.destroyer</v>
      </c>
      <c r="D17" t="str">
        <f>+"talent1."&amp;_xlfn.IFNA(SUBSTITUTE(SUBSTITUTE(LOWER(INDEX(heroes[Talent],MATCH(pictures.concat[[#This Row],[Hero]],heroes[Hero],0)))," ",""),"'",""),"empty")</f>
        <v>talent1.empty</v>
      </c>
      <c r="E17" t="str">
        <f>+"talent2."&amp;_xlfn.IFNA(SUBSTITUTE(LOWER(INDEX(pictures.talent2[Hero],MATCH(pictures.concat[[#This Row],[Hero]],pictures.talent2[Hero],0)))," ",""),"empty")</f>
        <v>talent2.destroyer</v>
      </c>
      <c r="F17" t="str">
        <f>+"crest."&amp;_xlfn.IFNA(IF(INDEX(heroes[Crest Set],MATCH(pictures.concat[[#This Row],[Hero]],heroes[Hero],0))="","empty",SUBSTITUTE(LOWER(INDEX(heroes[Crest Set],MATCH(pictures.concat[[#This Row],[Hero]],heroes[Hero],0)))," ","")),"empty")</f>
        <v>crest.empty</v>
      </c>
      <c r="H17" t="s">
        <v>167</v>
      </c>
      <c r="I17" t="str">
        <f>+"concat."&amp;SUBSTITUTE(SUBSTITUTE(LOWER(pictures.concat[[#This Row],[Hero]])," ",""),"-","")&amp;"."</f>
        <v>concat.destroyer.</v>
      </c>
      <c r="J17">
        <v>1</v>
      </c>
      <c r="K17">
        <v>2</v>
      </c>
      <c r="L17">
        <v>3</v>
      </c>
      <c r="M17">
        <v>4</v>
      </c>
      <c r="N17">
        <v>5</v>
      </c>
      <c r="O17" t="s">
        <v>184</v>
      </c>
      <c r="P17" t="s">
        <v>174</v>
      </c>
      <c r="Q17" t="s">
        <v>175</v>
      </c>
      <c r="R17" t="s">
        <v>176</v>
      </c>
      <c r="S17" t="s">
        <v>182</v>
      </c>
      <c r="T17" t="s">
        <v>183</v>
      </c>
      <c r="U17" t="s">
        <v>177</v>
      </c>
      <c r="V17">
        <f>+ROW(pictures.concat[[#This Row],[Hero]])</f>
        <v>17</v>
      </c>
      <c r="W17" t="s">
        <v>185</v>
      </c>
      <c r="X17" t="str">
        <f t="shared" si="0"/>
        <v>&lt;definedName name="concat.destroyer.1"&gt;INDIRECT('pictures'!$B$17)&lt;/definedName&gt;</v>
      </c>
      <c r="Y17" s="124" t="str">
        <f t="shared" si="1"/>
        <v>&lt;definedName name="concat.destroyer.2"&gt;INDIRECT('pictures'!$C$17)&lt;/definedName&gt;</v>
      </c>
      <c r="Z17" s="124" t="str">
        <f t="shared" si="2"/>
        <v>&lt;definedName name="concat.destroyer.3"&gt;INDIRECT('pictures'!$D$17)&lt;/definedName&gt;</v>
      </c>
      <c r="AA17" s="124" t="str">
        <f t="shared" si="3"/>
        <v>&lt;definedName name="concat.destroyer.4"&gt;INDIRECT('pictures'!$E$17)&lt;/definedName&gt;</v>
      </c>
      <c r="AB17" s="124" t="str">
        <f t="shared" si="4"/>
        <v>&lt;definedName name="concat.destroyer.5"&gt;INDIRECT('pictures'!$F$17)&lt;/definedName&gt;</v>
      </c>
      <c r="AC17" s="123"/>
      <c r="AD17" s="123"/>
      <c r="AE17" s="123"/>
      <c r="AF17" s="123"/>
      <c r="AG17" s="123"/>
    </row>
    <row r="18" spans="1:33" x14ac:dyDescent="0.25">
      <c r="A18" t="s">
        <v>41</v>
      </c>
      <c r="B1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hero.dracax.stage1</v>
      </c>
      <c r="C18" t="str">
        <f>+"skill."&amp;SUBSTITUTE(SUBSTITUTE(LOWER(pictures.concat[[#This Row],[Hero]])," ",""),"-","")</f>
        <v>skill.dracax</v>
      </c>
      <c r="D18" t="str">
        <f>+"talent1."&amp;_xlfn.IFNA(SUBSTITUTE(SUBSTITUTE(LOWER(INDEX(heroes[Talent],MATCH(pictures.concat[[#This Row],[Hero]],heroes[Hero],0)))," ",""),"'",""),"empty")</f>
        <v>talent1.condemnation</v>
      </c>
      <c r="E18" t="str">
        <f>+"talent2."&amp;_xlfn.IFNA(SUBSTITUTE(LOWER(INDEX(pictures.talent2[Hero],MATCH(pictures.concat[[#This Row],[Hero]],pictures.talent2[Hero],0)))," ",""),"empty")</f>
        <v>talent2.dracax</v>
      </c>
      <c r="F18" t="str">
        <f>+"crest."&amp;_xlfn.IFNA(IF(INDEX(heroes[Crest Set],MATCH(pictures.concat[[#This Row],[Hero]],heroes[Hero],0))="","empty",SUBSTITUTE(LOWER(INDEX(heroes[Crest Set],MATCH(pictures.concat[[#This Row],[Hero]],heroes[Hero],0)))," ","")),"empty")</f>
        <v>crest.empty</v>
      </c>
      <c r="H18" t="s">
        <v>167</v>
      </c>
      <c r="I18" t="str">
        <f>+"concat."&amp;SUBSTITUTE(SUBSTITUTE(LOWER(pictures.concat[[#This Row],[Hero]])," ",""),"-","")&amp;"."</f>
        <v>concat.dracax.</v>
      </c>
      <c r="J18">
        <v>1</v>
      </c>
      <c r="K18">
        <v>2</v>
      </c>
      <c r="L18">
        <v>3</v>
      </c>
      <c r="M18">
        <v>4</v>
      </c>
      <c r="N18">
        <v>5</v>
      </c>
      <c r="O18" t="s">
        <v>184</v>
      </c>
      <c r="P18" t="s">
        <v>174</v>
      </c>
      <c r="Q18" t="s">
        <v>175</v>
      </c>
      <c r="R18" t="s">
        <v>176</v>
      </c>
      <c r="S18" t="s">
        <v>182</v>
      </c>
      <c r="T18" t="s">
        <v>183</v>
      </c>
      <c r="U18" t="s">
        <v>177</v>
      </c>
      <c r="V18">
        <f>+ROW(pictures.concat[[#This Row],[Hero]])</f>
        <v>18</v>
      </c>
      <c r="W18" t="s">
        <v>185</v>
      </c>
      <c r="X18" t="str">
        <f t="shared" si="0"/>
        <v>&lt;definedName name="concat.dracax.1"&gt;INDIRECT('pictures'!$B$18)&lt;/definedName&gt;</v>
      </c>
      <c r="Y18" s="124" t="str">
        <f t="shared" si="1"/>
        <v>&lt;definedName name="concat.dracax.2"&gt;INDIRECT('pictures'!$C$18)&lt;/definedName&gt;</v>
      </c>
      <c r="Z18" s="124" t="str">
        <f t="shared" si="2"/>
        <v>&lt;definedName name="concat.dracax.3"&gt;INDIRECT('pictures'!$D$18)&lt;/definedName&gt;</v>
      </c>
      <c r="AA18" s="124" t="str">
        <f t="shared" si="3"/>
        <v>&lt;definedName name="concat.dracax.4"&gt;INDIRECT('pictures'!$E$18)&lt;/definedName&gt;</v>
      </c>
      <c r="AB18" s="124" t="str">
        <f t="shared" si="4"/>
        <v>&lt;definedName name="concat.dracax.5"&gt;INDIRECT('pictures'!$F$18)&lt;/definedName&gt;</v>
      </c>
      <c r="AC18" s="123"/>
      <c r="AD18" s="123"/>
      <c r="AE18" s="123"/>
      <c r="AF18" s="123"/>
      <c r="AG18" s="123"/>
    </row>
    <row r="19" spans="1:33" x14ac:dyDescent="0.25">
      <c r="A19" t="s">
        <v>43</v>
      </c>
      <c r="B1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hero.dreaddrake.stage2</v>
      </c>
      <c r="C19" t="str">
        <f>+"skill."&amp;SUBSTITUTE(SUBSTITUTE(LOWER(pictures.concat[[#This Row],[Hero]])," ",""),"-","")</f>
        <v>skill.dreaddrake</v>
      </c>
      <c r="D19" t="str">
        <f>+"talent1."&amp;_xlfn.IFNA(SUBSTITUTE(SUBSTITUTE(LOWER(INDEX(heroes[Talent],MATCH(pictures.concat[[#This Row],[Hero]],heroes[Hero],0)))," ",""),"'",""),"empty")</f>
        <v>talent1.lifedrain</v>
      </c>
      <c r="E19" t="str">
        <f>+"talent2."&amp;_xlfn.IFNA(SUBSTITUTE(LOWER(INDEX(pictures.talent2[Hero],MATCH(pictures.concat[[#This Row],[Hero]],pictures.talent2[Hero],0)))," ",""),"empty")</f>
        <v>talent2.dreaddrake</v>
      </c>
      <c r="F19" t="str">
        <f>+"crest."&amp;_xlfn.IFNA(IF(INDEX(heroes[Crest Set],MATCH(pictures.concat[[#This Row],[Hero]],heroes[Hero],0))="","empty",SUBSTITUTE(LOWER(INDEX(heroes[Crest Set],MATCH(pictures.concat[[#This Row],[Hero]],heroes[Hero],0)))," ","")),"empty")</f>
        <v>crest.bulwark</v>
      </c>
      <c r="H19" t="s">
        <v>167</v>
      </c>
      <c r="I19" t="str">
        <f>+"concat."&amp;SUBSTITUTE(SUBSTITUTE(LOWER(pictures.concat[[#This Row],[Hero]])," ",""),"-","")&amp;"."</f>
        <v>concat.dreaddrake.</v>
      </c>
      <c r="J19">
        <v>1</v>
      </c>
      <c r="K19">
        <v>2</v>
      </c>
      <c r="L19">
        <v>3</v>
      </c>
      <c r="M19">
        <v>4</v>
      </c>
      <c r="N19">
        <v>5</v>
      </c>
      <c r="O19" t="s">
        <v>184</v>
      </c>
      <c r="P19" t="s">
        <v>174</v>
      </c>
      <c r="Q19" t="s">
        <v>175</v>
      </c>
      <c r="R19" t="s">
        <v>176</v>
      </c>
      <c r="S19" t="s">
        <v>182</v>
      </c>
      <c r="T19" t="s">
        <v>183</v>
      </c>
      <c r="U19" t="s">
        <v>177</v>
      </c>
      <c r="V19">
        <f>+ROW(pictures.concat[[#This Row],[Hero]])</f>
        <v>19</v>
      </c>
      <c r="W19" t="s">
        <v>185</v>
      </c>
      <c r="X19" t="str">
        <f t="shared" si="0"/>
        <v>&lt;definedName name="concat.dreaddrake.1"&gt;INDIRECT('pictures'!$B$19)&lt;/definedName&gt;</v>
      </c>
      <c r="Y19" s="124" t="str">
        <f t="shared" si="1"/>
        <v>&lt;definedName name="concat.dreaddrake.2"&gt;INDIRECT('pictures'!$C$19)&lt;/definedName&gt;</v>
      </c>
      <c r="Z19" s="124" t="str">
        <f t="shared" si="2"/>
        <v>&lt;definedName name="concat.dreaddrake.3"&gt;INDIRECT('pictures'!$D$19)&lt;/definedName&gt;</v>
      </c>
      <c r="AA19" s="124" t="str">
        <f t="shared" si="3"/>
        <v>&lt;definedName name="concat.dreaddrake.4"&gt;INDIRECT('pictures'!$E$19)&lt;/definedName&gt;</v>
      </c>
      <c r="AB19" s="124" t="str">
        <f t="shared" si="4"/>
        <v>&lt;definedName name="concat.dreaddrake.5"&gt;INDIRECT('pictures'!$F$19)&lt;/definedName&gt;</v>
      </c>
      <c r="AC19" s="123"/>
      <c r="AD19" s="123"/>
      <c r="AE19" s="123"/>
      <c r="AF19" s="123"/>
      <c r="AG19" s="123"/>
    </row>
    <row r="20" spans="1:33" x14ac:dyDescent="0.25">
      <c r="A20" t="s">
        <v>45</v>
      </c>
      <c r="B2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hero.druid.stage2</v>
      </c>
      <c r="C20" t="str">
        <f>+"skill."&amp;SUBSTITUTE(SUBSTITUTE(LOWER(pictures.concat[[#This Row],[Hero]])," ",""),"-","")</f>
        <v>skill.druid</v>
      </c>
      <c r="D20" t="str">
        <f>+"talent1."&amp;_xlfn.IFNA(SUBSTITUTE(SUBSTITUTE(LOWER(INDEX(heroes[Talent],MATCH(pictures.concat[[#This Row],[Hero]],heroes[Hero],0)))," ",""),"'",""),"empty")</f>
        <v>talent1.berserk</v>
      </c>
      <c r="E20" t="str">
        <f>+"talent2."&amp;_xlfn.IFNA(SUBSTITUTE(LOWER(INDEX(pictures.talent2[Hero],MATCH(pictures.concat[[#This Row],[Hero]],pictures.talent2[Hero],0)))," ",""),"empty")</f>
        <v>talent2.empty</v>
      </c>
      <c r="F20" t="str">
        <f>+"crest."&amp;_xlfn.IFNA(IF(INDEX(heroes[Crest Set],MATCH(pictures.concat[[#This Row],[Hero]],heroes[Hero],0))="","empty",SUBSTITUTE(LOWER(INDEX(heroes[Crest Set],MATCH(pictures.concat[[#This Row],[Hero]],heroes[Hero],0)))," ","")),"empty")</f>
        <v>crest.slowdown</v>
      </c>
      <c r="H20" t="s">
        <v>167</v>
      </c>
      <c r="I20" t="str">
        <f>+"concat."&amp;SUBSTITUTE(SUBSTITUTE(LOWER(pictures.concat[[#This Row],[Hero]])," ",""),"-","")&amp;"."</f>
        <v>concat.druid.</v>
      </c>
      <c r="J20">
        <v>1</v>
      </c>
      <c r="K20">
        <v>2</v>
      </c>
      <c r="L20">
        <v>3</v>
      </c>
      <c r="M20">
        <v>4</v>
      </c>
      <c r="N20">
        <v>5</v>
      </c>
      <c r="O20" t="s">
        <v>184</v>
      </c>
      <c r="P20" t="s">
        <v>174</v>
      </c>
      <c r="Q20" t="s">
        <v>175</v>
      </c>
      <c r="R20" t="s">
        <v>176</v>
      </c>
      <c r="S20" t="s">
        <v>182</v>
      </c>
      <c r="T20" t="s">
        <v>183</v>
      </c>
      <c r="U20" t="s">
        <v>177</v>
      </c>
      <c r="V20">
        <f>+ROW(pictures.concat[[#This Row],[Hero]])</f>
        <v>20</v>
      </c>
      <c r="W20" t="s">
        <v>185</v>
      </c>
      <c r="X20" t="str">
        <f t="shared" si="0"/>
        <v>&lt;definedName name="concat.druid.1"&gt;INDIRECT('pictures'!$B$20)&lt;/definedName&gt;</v>
      </c>
      <c r="Y20" s="124" t="str">
        <f t="shared" si="1"/>
        <v>&lt;definedName name="concat.druid.2"&gt;INDIRECT('pictures'!$C$20)&lt;/definedName&gt;</v>
      </c>
      <c r="Z20" s="124" t="str">
        <f t="shared" si="2"/>
        <v>&lt;definedName name="concat.druid.3"&gt;INDIRECT('pictures'!$D$20)&lt;/definedName&gt;</v>
      </c>
      <c r="AA20" s="124" t="str">
        <f t="shared" si="3"/>
        <v>&lt;definedName name="concat.druid.4"&gt;INDIRECT('pictures'!$E$20)&lt;/definedName&gt;</v>
      </c>
      <c r="AB20" s="124" t="str">
        <f t="shared" si="4"/>
        <v>&lt;definedName name="concat.druid.5"&gt;INDIRECT('pictures'!$F$20)&lt;/definedName&gt;</v>
      </c>
      <c r="AC20" s="123"/>
      <c r="AD20" s="123"/>
      <c r="AE20" s="123"/>
      <c r="AF20" s="123"/>
      <c r="AG20" s="123"/>
    </row>
    <row r="21" spans="1:33" x14ac:dyDescent="0.25">
      <c r="A21" t="s">
        <v>47</v>
      </c>
      <c r="B2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hero.dryad.stage1</v>
      </c>
      <c r="C21" t="str">
        <f>+"skill."&amp;SUBSTITUTE(SUBSTITUTE(LOWER(pictures.concat[[#This Row],[Hero]])," ",""),"-","")</f>
        <v>skill.dryad</v>
      </c>
      <c r="D21" t="str">
        <f>+"talent1."&amp;_xlfn.IFNA(SUBSTITUTE(SUBSTITUTE(LOWER(INDEX(heroes[Talent],MATCH(pictures.concat[[#This Row],[Hero]],heroes[Hero],0)))," ",""),"'",""),"empty")</f>
        <v>talent1.berserk</v>
      </c>
      <c r="E21" t="str">
        <f>+"talent2."&amp;_xlfn.IFNA(SUBSTITUTE(LOWER(INDEX(pictures.talent2[Hero],MATCH(pictures.concat[[#This Row],[Hero]],pictures.talent2[Hero],0)))," ",""),"empty")</f>
        <v>talent2.empty</v>
      </c>
      <c r="F21" t="str">
        <f>+"crest."&amp;_xlfn.IFNA(IF(INDEX(heroes[Crest Set],MATCH(pictures.concat[[#This Row],[Hero]],heroes[Hero],0))="","empty",SUBSTITUTE(LOWER(INDEX(heroes[Crest Set],MATCH(pictures.concat[[#This Row],[Hero]],heroes[Hero],0)))," ","")),"empty")</f>
        <v>crest.stoneskin</v>
      </c>
      <c r="H21" t="s">
        <v>167</v>
      </c>
      <c r="I21" t="str">
        <f>+"concat."&amp;SUBSTITUTE(SUBSTITUTE(LOWER(pictures.concat[[#This Row],[Hero]])," ",""),"-","")&amp;"."</f>
        <v>concat.dryad.</v>
      </c>
      <c r="J21">
        <v>1</v>
      </c>
      <c r="K21">
        <v>2</v>
      </c>
      <c r="L21">
        <v>3</v>
      </c>
      <c r="M21">
        <v>4</v>
      </c>
      <c r="N21">
        <v>5</v>
      </c>
      <c r="O21" t="s">
        <v>184</v>
      </c>
      <c r="P21" t="s">
        <v>174</v>
      </c>
      <c r="Q21" t="s">
        <v>175</v>
      </c>
      <c r="R21" t="s">
        <v>176</v>
      </c>
      <c r="S21" t="s">
        <v>182</v>
      </c>
      <c r="T21" t="s">
        <v>183</v>
      </c>
      <c r="U21" t="s">
        <v>177</v>
      </c>
      <c r="V21">
        <f>+ROW(pictures.concat[[#This Row],[Hero]])</f>
        <v>21</v>
      </c>
      <c r="W21" t="s">
        <v>185</v>
      </c>
      <c r="X21" t="str">
        <f t="shared" si="0"/>
        <v>&lt;definedName name="concat.dryad.1"&gt;INDIRECT('pictures'!$B$21)&lt;/definedName&gt;</v>
      </c>
      <c r="Y21" s="124" t="str">
        <f t="shared" si="1"/>
        <v>&lt;definedName name="concat.dryad.2"&gt;INDIRECT('pictures'!$C$21)&lt;/definedName&gt;</v>
      </c>
      <c r="Z21" s="124" t="str">
        <f t="shared" si="2"/>
        <v>&lt;definedName name="concat.dryad.3"&gt;INDIRECT('pictures'!$D$21)&lt;/definedName&gt;</v>
      </c>
      <c r="AA21" s="124" t="str">
        <f t="shared" si="3"/>
        <v>&lt;definedName name="concat.dryad.4"&gt;INDIRECT('pictures'!$E$21)&lt;/definedName&gt;</v>
      </c>
      <c r="AB21" s="124" t="str">
        <f t="shared" si="4"/>
        <v>&lt;definedName name="concat.dryad.5"&gt;INDIRECT('pictures'!$F$21)&lt;/definedName&gt;</v>
      </c>
      <c r="AC21" s="123"/>
      <c r="AD21" s="123"/>
      <c r="AE21" s="123"/>
      <c r="AF21" s="123"/>
      <c r="AG21" s="123"/>
    </row>
    <row r="22" spans="1:33" x14ac:dyDescent="0.25">
      <c r="A22" t="s">
        <v>49</v>
      </c>
      <c r="B2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hero.engineer.stage1</v>
      </c>
      <c r="C22" t="str">
        <f>+"skill."&amp;SUBSTITUTE(SUBSTITUTE(LOWER(pictures.concat[[#This Row],[Hero]])," ",""),"-","")</f>
        <v>skill.engineer</v>
      </c>
      <c r="D22" t="str">
        <f>+"talent1."&amp;_xlfn.IFNA(SUBSTITUTE(SUBSTITUTE(LOWER(INDEX(heroes[Talent],MATCH(pictures.concat[[#This Row],[Hero]],heroes[Hero],0)))," ",""),"'",""),"empty")</f>
        <v>talent1.heavenswrath</v>
      </c>
      <c r="E22" t="str">
        <f>+"talent2."&amp;_xlfn.IFNA(SUBSTITUTE(LOWER(INDEX(pictures.talent2[Hero],MATCH(pictures.concat[[#This Row],[Hero]],pictures.talent2[Hero],0)))," ",""),"empty")</f>
        <v>talent2.empty</v>
      </c>
      <c r="F22" t="str">
        <f>+"crest."&amp;_xlfn.IFNA(IF(INDEX(heroes[Crest Set],MATCH(pictures.concat[[#This Row],[Hero]],heroes[Hero],0))="","empty",SUBSTITUTE(LOWER(INDEX(heroes[Crest Set],MATCH(pictures.concat[[#This Row],[Hero]],heroes[Hero],0)))," ","")),"empty")</f>
        <v>crest.deadlystrike</v>
      </c>
      <c r="H22" t="s">
        <v>167</v>
      </c>
      <c r="I22" t="str">
        <f>+"concat."&amp;SUBSTITUTE(SUBSTITUTE(LOWER(pictures.concat[[#This Row],[Hero]])," ",""),"-","")&amp;"."</f>
        <v>concat.engineer.</v>
      </c>
      <c r="J22">
        <v>1</v>
      </c>
      <c r="K22">
        <v>2</v>
      </c>
      <c r="L22">
        <v>3</v>
      </c>
      <c r="M22">
        <v>4</v>
      </c>
      <c r="N22">
        <v>5</v>
      </c>
      <c r="O22" t="s">
        <v>184</v>
      </c>
      <c r="P22" t="s">
        <v>174</v>
      </c>
      <c r="Q22" t="s">
        <v>175</v>
      </c>
      <c r="R22" t="s">
        <v>176</v>
      </c>
      <c r="S22" t="s">
        <v>182</v>
      </c>
      <c r="T22" t="s">
        <v>183</v>
      </c>
      <c r="U22" t="s">
        <v>177</v>
      </c>
      <c r="V22">
        <f>+ROW(pictures.concat[[#This Row],[Hero]])</f>
        <v>22</v>
      </c>
      <c r="W22" t="s">
        <v>185</v>
      </c>
      <c r="X22" t="str">
        <f t="shared" si="0"/>
        <v>&lt;definedName name="concat.engineer.1"&gt;INDIRECT('pictures'!$B$22)&lt;/definedName&gt;</v>
      </c>
      <c r="Y22" s="124" t="str">
        <f t="shared" si="1"/>
        <v>&lt;definedName name="concat.engineer.2"&gt;INDIRECT('pictures'!$C$22)&lt;/definedName&gt;</v>
      </c>
      <c r="Z22" s="124" t="str">
        <f t="shared" si="2"/>
        <v>&lt;definedName name="concat.engineer.3"&gt;INDIRECT('pictures'!$D$22)&lt;/definedName&gt;</v>
      </c>
      <c r="AA22" s="124" t="str">
        <f t="shared" si="3"/>
        <v>&lt;definedName name="concat.engineer.4"&gt;INDIRECT('pictures'!$E$22)&lt;/definedName&gt;</v>
      </c>
      <c r="AB22" s="124" t="str">
        <f t="shared" si="4"/>
        <v>&lt;definedName name="concat.engineer.5"&gt;INDIRECT('pictures'!$F$22)&lt;/definedName&gt;</v>
      </c>
      <c r="AC22" s="123"/>
      <c r="AD22" s="123"/>
      <c r="AE22" s="123"/>
      <c r="AF22" s="123"/>
      <c r="AG22" s="123"/>
    </row>
    <row r="23" spans="1:33" x14ac:dyDescent="0.25">
      <c r="A23" t="s">
        <v>51</v>
      </c>
      <c r="B2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hero.executioner.stage1</v>
      </c>
      <c r="C23" t="str">
        <f>+"skill."&amp;SUBSTITUTE(SUBSTITUTE(LOWER(pictures.concat[[#This Row],[Hero]])," ",""),"-","")</f>
        <v>skill.executioner</v>
      </c>
      <c r="D23" t="str">
        <f>+"talent1."&amp;_xlfn.IFNA(SUBSTITUTE(SUBSTITUTE(LOWER(INDEX(heroes[Talent],MATCH(pictures.concat[[#This Row],[Hero]],heroes[Hero],0)))," ",""),"'",""),"empty")</f>
        <v>talent1.revitalize</v>
      </c>
      <c r="E23" t="str">
        <f>+"talent2."&amp;_xlfn.IFNA(SUBSTITUTE(LOWER(INDEX(pictures.talent2[Hero],MATCH(pictures.concat[[#This Row],[Hero]],pictures.talent2[Hero],0)))," ",""),"empty")</f>
        <v>talent2.empty</v>
      </c>
      <c r="F23" t="str">
        <f>+"crest."&amp;_xlfn.IFNA(IF(INDEX(heroes[Crest Set],MATCH(pictures.concat[[#This Row],[Hero]],heroes[Hero],0))="","empty",SUBSTITUTE(LOWER(INDEX(heroes[Crest Set],MATCH(pictures.concat[[#This Row],[Hero]],heroes[Hero],0)))," ","")),"empty")</f>
        <v>crest.deadlystrike</v>
      </c>
      <c r="H23" t="s">
        <v>167</v>
      </c>
      <c r="I23" t="str">
        <f>+"concat."&amp;SUBSTITUTE(SUBSTITUTE(LOWER(pictures.concat[[#This Row],[Hero]])," ",""),"-","")&amp;"."</f>
        <v>concat.executioner.</v>
      </c>
      <c r="J23">
        <v>1</v>
      </c>
      <c r="K23">
        <v>2</v>
      </c>
      <c r="L23">
        <v>3</v>
      </c>
      <c r="M23">
        <v>4</v>
      </c>
      <c r="N23">
        <v>5</v>
      </c>
      <c r="O23" t="s">
        <v>184</v>
      </c>
      <c r="P23" t="s">
        <v>174</v>
      </c>
      <c r="Q23" t="s">
        <v>175</v>
      </c>
      <c r="R23" t="s">
        <v>176</v>
      </c>
      <c r="S23" t="s">
        <v>182</v>
      </c>
      <c r="T23" t="s">
        <v>183</v>
      </c>
      <c r="U23" t="s">
        <v>177</v>
      </c>
      <c r="V23">
        <f>+ROW(pictures.concat[[#This Row],[Hero]])</f>
        <v>23</v>
      </c>
      <c r="W23" t="s">
        <v>185</v>
      </c>
      <c r="X23" t="str">
        <f t="shared" si="0"/>
        <v>&lt;definedName name="concat.executioner.1"&gt;INDIRECT('pictures'!$B$23)&lt;/definedName&gt;</v>
      </c>
      <c r="Y23" s="124" t="str">
        <f t="shared" si="1"/>
        <v>&lt;definedName name="concat.executioner.2"&gt;INDIRECT('pictures'!$C$23)&lt;/definedName&gt;</v>
      </c>
      <c r="Z23" s="124" t="str">
        <f t="shared" si="2"/>
        <v>&lt;definedName name="concat.executioner.3"&gt;INDIRECT('pictures'!$D$23)&lt;/definedName&gt;</v>
      </c>
      <c r="AA23" s="124" t="str">
        <f t="shared" si="3"/>
        <v>&lt;definedName name="concat.executioner.4"&gt;INDIRECT('pictures'!$E$23)&lt;/definedName&gt;</v>
      </c>
      <c r="AB23" s="124" t="str">
        <f t="shared" si="4"/>
        <v>&lt;definedName name="concat.executioner.5"&gt;INDIRECT('pictures'!$F$23)&lt;/definedName&gt;</v>
      </c>
      <c r="AC23" s="123"/>
      <c r="AD23" s="123"/>
      <c r="AE23" s="123"/>
      <c r="AF23" s="123"/>
      <c r="AG23" s="123"/>
    </row>
    <row r="24" spans="1:33" x14ac:dyDescent="0.25">
      <c r="A24" t="s">
        <v>53</v>
      </c>
      <c r="B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hero.frostwitch.stage1</v>
      </c>
      <c r="C24" t="str">
        <f>+"skill."&amp;SUBSTITUTE(SUBSTITUTE(LOWER(pictures.concat[[#This Row],[Hero]])," ",""),"-","")</f>
        <v>skill.frostwitch</v>
      </c>
      <c r="D24" t="str">
        <f>+"talent1."&amp;_xlfn.IFNA(SUBSTITUTE(SUBSTITUTE(LOWER(INDEX(heroes[Talent],MATCH(pictures.concat[[#This Row],[Hero]],heroes[Hero],0)))," ",""),"'",""),"empty")</f>
        <v>talent1.revitalize</v>
      </c>
      <c r="E24" t="str">
        <f>+"talent2."&amp;_xlfn.IFNA(SUBSTITUTE(LOWER(INDEX(pictures.talent2[Hero],MATCH(pictures.concat[[#This Row],[Hero]],pictures.talent2[Hero],0)))," ",""),"empty")</f>
        <v>talent2.empty</v>
      </c>
      <c r="F24" t="str">
        <f>+"crest."&amp;_xlfn.IFNA(IF(INDEX(heroes[Crest Set],MATCH(pictures.concat[[#This Row],[Hero]],heroes[Hero],0))="","empty",SUBSTITUTE(LOWER(INDEX(heroes[Crest Set],MATCH(pictures.concat[[#This Row],[Hero]],heroes[Hero],0)))," ","")),"empty")</f>
        <v>crest.empty</v>
      </c>
      <c r="H24" t="s">
        <v>167</v>
      </c>
      <c r="I24" t="str">
        <f>+"concat."&amp;SUBSTITUTE(SUBSTITUTE(LOWER(pictures.concat[[#This Row],[Hero]])," ",""),"-","")&amp;"."</f>
        <v>concat.frostwitch.</v>
      </c>
      <c r="J24">
        <v>1</v>
      </c>
      <c r="K24">
        <v>2</v>
      </c>
      <c r="L24">
        <v>3</v>
      </c>
      <c r="M24">
        <v>4</v>
      </c>
      <c r="N24">
        <v>5</v>
      </c>
      <c r="O24" t="s">
        <v>184</v>
      </c>
      <c r="P24" t="s">
        <v>174</v>
      </c>
      <c r="Q24" t="s">
        <v>175</v>
      </c>
      <c r="R24" t="s">
        <v>176</v>
      </c>
      <c r="S24" t="s">
        <v>182</v>
      </c>
      <c r="T24" t="s">
        <v>183</v>
      </c>
      <c r="U24" t="s">
        <v>177</v>
      </c>
      <c r="V24">
        <f>+ROW(pictures.concat[[#This Row],[Hero]])</f>
        <v>24</v>
      </c>
      <c r="W24" t="s">
        <v>185</v>
      </c>
      <c r="X24" t="str">
        <f t="shared" si="0"/>
        <v>&lt;definedName name="concat.frostwitch.1"&gt;INDIRECT('pictures'!$B$24)&lt;/definedName&gt;</v>
      </c>
      <c r="Y24" s="124" t="str">
        <f t="shared" si="1"/>
        <v>&lt;definedName name="concat.frostwitch.2"&gt;INDIRECT('pictures'!$C$24)&lt;/definedName&gt;</v>
      </c>
      <c r="Z24" s="124" t="str">
        <f t="shared" si="2"/>
        <v>&lt;definedName name="concat.frostwitch.3"&gt;INDIRECT('pictures'!$D$24)&lt;/definedName&gt;</v>
      </c>
      <c r="AA24" s="124" t="str">
        <f t="shared" si="3"/>
        <v>&lt;definedName name="concat.frostwitch.4"&gt;INDIRECT('pictures'!$E$24)&lt;/definedName&gt;</v>
      </c>
      <c r="AB24" s="124" t="str">
        <f t="shared" si="4"/>
        <v>&lt;definedName name="concat.frostwitch.5"&gt;INDIRECT('pictures'!$F$24)&lt;/definedName&gt;</v>
      </c>
      <c r="AC24" s="123"/>
      <c r="AD24" s="123"/>
      <c r="AE24" s="123"/>
      <c r="AF24" s="123"/>
      <c r="AG24" s="123"/>
    </row>
    <row r="25" spans="1:33" x14ac:dyDescent="0.25">
      <c r="A25" t="s">
        <v>55</v>
      </c>
      <c r="B25"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hero.ghoulem.stage2</v>
      </c>
      <c r="C25" t="str">
        <f>+"skill."&amp;SUBSTITUTE(SUBSTITUTE(LOWER(pictures.concat[[#This Row],[Hero]])," ",""),"-","")</f>
        <v>skill.ghoulem</v>
      </c>
      <c r="D25" t="str">
        <f>+"talent1."&amp;_xlfn.IFNA(SUBSTITUTE(SUBSTITUTE(LOWER(INDEX(heroes[Talent],MATCH(pictures.concat[[#This Row],[Hero]],heroes[Hero],0)))," ",""),"'",""),"empty")</f>
        <v>talent1.bulwark</v>
      </c>
      <c r="E25" t="str">
        <f>+"talent2."&amp;_xlfn.IFNA(SUBSTITUTE(LOWER(INDEX(pictures.talent2[Hero],MATCH(pictures.concat[[#This Row],[Hero]],pictures.talent2[Hero],0)))," ",""),"empty")</f>
        <v>talent2.empty</v>
      </c>
      <c r="F25" t="str">
        <f>+"crest."&amp;_xlfn.IFNA(IF(INDEX(heroes[Crest Set],MATCH(pictures.concat[[#This Row],[Hero]],heroes[Hero],0))="","empty",SUBSTITUTE(LOWER(INDEX(heroes[Crest Set],MATCH(pictures.concat[[#This Row],[Hero]],heroes[Hero],0)))," ","")),"empty")</f>
        <v>crest.lifedrain</v>
      </c>
      <c r="H25" t="s">
        <v>167</v>
      </c>
      <c r="I25" t="str">
        <f>+"concat."&amp;SUBSTITUTE(SUBSTITUTE(LOWER(pictures.concat[[#This Row],[Hero]])," ",""),"-","")&amp;"."</f>
        <v>concat.ghoulem.</v>
      </c>
      <c r="J25">
        <v>1</v>
      </c>
      <c r="K25">
        <v>2</v>
      </c>
      <c r="L25">
        <v>3</v>
      </c>
      <c r="M25">
        <v>4</v>
      </c>
      <c r="N25">
        <v>5</v>
      </c>
      <c r="O25" t="s">
        <v>184</v>
      </c>
      <c r="P25" t="s">
        <v>174</v>
      </c>
      <c r="Q25" t="s">
        <v>175</v>
      </c>
      <c r="R25" t="s">
        <v>176</v>
      </c>
      <c r="S25" t="s">
        <v>182</v>
      </c>
      <c r="T25" t="s">
        <v>183</v>
      </c>
      <c r="U25" t="s">
        <v>177</v>
      </c>
      <c r="V25">
        <f>+ROW(pictures.concat[[#This Row],[Hero]])</f>
        <v>25</v>
      </c>
      <c r="W25" t="s">
        <v>185</v>
      </c>
      <c r="X25" t="str">
        <f t="shared" si="0"/>
        <v>&lt;definedName name="concat.ghoulem.1"&gt;INDIRECT('pictures'!$B$25)&lt;/definedName&gt;</v>
      </c>
      <c r="Y25" s="124" t="str">
        <f t="shared" si="1"/>
        <v>&lt;definedName name="concat.ghoulem.2"&gt;INDIRECT('pictures'!$C$25)&lt;/definedName&gt;</v>
      </c>
      <c r="Z25" s="124" t="str">
        <f t="shared" si="2"/>
        <v>&lt;definedName name="concat.ghoulem.3"&gt;INDIRECT('pictures'!$D$25)&lt;/definedName&gt;</v>
      </c>
      <c r="AA25" s="124" t="str">
        <f t="shared" si="3"/>
        <v>&lt;definedName name="concat.ghoulem.4"&gt;INDIRECT('pictures'!$E$25)&lt;/definedName&gt;</v>
      </c>
      <c r="AB25" s="124" t="str">
        <f t="shared" si="4"/>
        <v>&lt;definedName name="concat.ghoulem.5"&gt;INDIRECT('pictures'!$F$25)&lt;/definedName&gt;</v>
      </c>
      <c r="AC25" s="123"/>
      <c r="AD25" s="123"/>
      <c r="AE25" s="123"/>
      <c r="AF25" s="123"/>
      <c r="AG25" s="123"/>
    </row>
    <row r="26" spans="1:33" x14ac:dyDescent="0.25">
      <c r="A26" t="s">
        <v>56</v>
      </c>
      <c r="B2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hero.grimfiend.stage2</v>
      </c>
      <c r="C26" t="str">
        <f>+"skill."&amp;SUBSTITUTE(SUBSTITUTE(LOWER(pictures.concat[[#This Row],[Hero]])," ",""),"-","")</f>
        <v>skill.grimfiend</v>
      </c>
      <c r="D26" t="str">
        <f>+"talent1."&amp;_xlfn.IFNA(SUBSTITUTE(SUBSTITUTE(LOWER(INDEX(heroes[Talent],MATCH(pictures.concat[[#This Row],[Hero]],heroes[Hero],0)))," ",""),"'",""),"empty")</f>
        <v>talent1.lifedrain</v>
      </c>
      <c r="E26" t="str">
        <f>+"talent2."&amp;_xlfn.IFNA(SUBSTITUTE(LOWER(INDEX(pictures.talent2[Hero],MATCH(pictures.concat[[#This Row],[Hero]],pictures.talent2[Hero],0)))," ",""),"empty")</f>
        <v>talent2.grimfiend</v>
      </c>
      <c r="F26" t="str">
        <f>+"crest."&amp;_xlfn.IFNA(IF(INDEX(heroes[Crest Set],MATCH(pictures.concat[[#This Row],[Hero]],heroes[Hero],0))="","empty",SUBSTITUTE(LOWER(INDEX(heroes[Crest Set],MATCH(pictures.concat[[#This Row],[Hero]],heroes[Hero],0)))," ","")),"empty")</f>
        <v>crest.scatter</v>
      </c>
      <c r="H26" t="s">
        <v>167</v>
      </c>
      <c r="I26" t="str">
        <f>+"concat."&amp;SUBSTITUTE(SUBSTITUTE(LOWER(pictures.concat[[#This Row],[Hero]])," ",""),"-","")&amp;"."</f>
        <v>concat.grimfiend.</v>
      </c>
      <c r="J26">
        <v>1</v>
      </c>
      <c r="K26">
        <v>2</v>
      </c>
      <c r="L26">
        <v>3</v>
      </c>
      <c r="M26">
        <v>4</v>
      </c>
      <c r="N26">
        <v>5</v>
      </c>
      <c r="O26" t="s">
        <v>184</v>
      </c>
      <c r="P26" t="s">
        <v>174</v>
      </c>
      <c r="Q26" t="s">
        <v>175</v>
      </c>
      <c r="R26" t="s">
        <v>176</v>
      </c>
      <c r="S26" t="s">
        <v>182</v>
      </c>
      <c r="T26" t="s">
        <v>183</v>
      </c>
      <c r="U26" t="s">
        <v>177</v>
      </c>
      <c r="V26">
        <f>+ROW(pictures.concat[[#This Row],[Hero]])</f>
        <v>26</v>
      </c>
      <c r="W26" t="s">
        <v>185</v>
      </c>
      <c r="X26" t="str">
        <f t="shared" si="0"/>
        <v>&lt;definedName name="concat.grimfiend.1"&gt;INDIRECT('pictures'!$B$26)&lt;/definedName&gt;</v>
      </c>
      <c r="Y26" s="124" t="str">
        <f t="shared" si="1"/>
        <v>&lt;definedName name="concat.grimfiend.2"&gt;INDIRECT('pictures'!$C$26)&lt;/definedName&gt;</v>
      </c>
      <c r="Z26" s="124" t="str">
        <f t="shared" si="2"/>
        <v>&lt;definedName name="concat.grimfiend.3"&gt;INDIRECT('pictures'!$D$26)&lt;/definedName&gt;</v>
      </c>
      <c r="AA26" s="124" t="str">
        <f t="shared" si="3"/>
        <v>&lt;definedName name="concat.grimfiend.4"&gt;INDIRECT('pictures'!$E$26)&lt;/definedName&gt;</v>
      </c>
      <c r="AB26" s="124" t="str">
        <f t="shared" si="4"/>
        <v>&lt;definedName name="concat.grimfiend.5"&gt;INDIRECT('pictures'!$F$26)&lt;/definedName&gt;</v>
      </c>
      <c r="AC26" s="123"/>
      <c r="AD26" s="123"/>
      <c r="AE26" s="123"/>
      <c r="AF26" s="123"/>
      <c r="AG26" s="123"/>
    </row>
    <row r="27" spans="1:33" x14ac:dyDescent="0.25">
      <c r="A27" t="s">
        <v>57</v>
      </c>
      <c r="B2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hero.grizzlyreaper.stage2</v>
      </c>
      <c r="C27" t="str">
        <f>+"skill."&amp;SUBSTITUTE(SUBSTITUTE(LOWER(pictures.concat[[#This Row],[Hero]])," ",""),"-","")</f>
        <v>skill.grizzlyreaper</v>
      </c>
      <c r="D27" t="str">
        <f>+"talent1."&amp;_xlfn.IFNA(SUBSTITUTE(SUBSTITUTE(LOWER(INDEX(heroes[Talent],MATCH(pictures.concat[[#This Row],[Hero]],heroes[Hero],0)))," ",""),"'",""),"empty")</f>
        <v>talent1.bulwark</v>
      </c>
      <c r="E27" t="str">
        <f>+"talent2."&amp;_xlfn.IFNA(SUBSTITUTE(LOWER(INDEX(pictures.talent2[Hero],MATCH(pictures.concat[[#This Row],[Hero]],pictures.talent2[Hero],0)))," ",""),"empty")</f>
        <v>talent2.empty</v>
      </c>
      <c r="F27" t="str">
        <f>+"crest."&amp;_xlfn.IFNA(IF(INDEX(heroes[Crest Set],MATCH(pictures.concat[[#This Row],[Hero]],heroes[Hero],0))="","empty",SUBSTITUTE(LOWER(INDEX(heroes[Crest Set],MATCH(pictures.concat[[#This Row],[Hero]],heroes[Hero],0)))," ","")),"empty")</f>
        <v>crest.sprint</v>
      </c>
      <c r="H27" t="s">
        <v>167</v>
      </c>
      <c r="I27" t="str">
        <f>+"concat."&amp;SUBSTITUTE(SUBSTITUTE(LOWER(pictures.concat[[#This Row],[Hero]])," ",""),"-","")&amp;"."</f>
        <v>concat.grizzlyreaper.</v>
      </c>
      <c r="J27">
        <v>1</v>
      </c>
      <c r="K27">
        <v>2</v>
      </c>
      <c r="L27">
        <v>3</v>
      </c>
      <c r="M27">
        <v>4</v>
      </c>
      <c r="N27">
        <v>5</v>
      </c>
      <c r="O27" t="s">
        <v>184</v>
      </c>
      <c r="P27" t="s">
        <v>174</v>
      </c>
      <c r="Q27" t="s">
        <v>175</v>
      </c>
      <c r="R27" t="s">
        <v>176</v>
      </c>
      <c r="S27" t="s">
        <v>182</v>
      </c>
      <c r="T27" t="s">
        <v>183</v>
      </c>
      <c r="U27" t="s">
        <v>177</v>
      </c>
      <c r="V27">
        <f>+ROW(pictures.concat[[#This Row],[Hero]])</f>
        <v>27</v>
      </c>
      <c r="W27" t="s">
        <v>185</v>
      </c>
      <c r="X27" t="str">
        <f t="shared" si="0"/>
        <v>&lt;definedName name="concat.grizzlyreaper.1"&gt;INDIRECT('pictures'!$B$27)&lt;/definedName&gt;</v>
      </c>
      <c r="Y27" s="124" t="str">
        <f t="shared" si="1"/>
        <v>&lt;definedName name="concat.grizzlyreaper.2"&gt;INDIRECT('pictures'!$C$27)&lt;/definedName&gt;</v>
      </c>
      <c r="Z27" s="124" t="str">
        <f t="shared" si="2"/>
        <v>&lt;definedName name="concat.grizzlyreaper.3"&gt;INDIRECT('pictures'!$D$27)&lt;/definedName&gt;</v>
      </c>
      <c r="AA27" s="124" t="str">
        <f t="shared" si="3"/>
        <v>&lt;definedName name="concat.grizzlyreaper.4"&gt;INDIRECT('pictures'!$E$27)&lt;/definedName&gt;</v>
      </c>
      <c r="AB27" s="124" t="str">
        <f t="shared" si="4"/>
        <v>&lt;definedName name="concat.grizzlyreaper.5"&gt;INDIRECT('pictures'!$F$27)&lt;/definedName&gt;</v>
      </c>
      <c r="AC27" s="123"/>
      <c r="AD27" s="123"/>
      <c r="AE27" s="123"/>
      <c r="AF27" s="123"/>
      <c r="AG27" s="123"/>
    </row>
    <row r="28" spans="1:33" x14ac:dyDescent="0.25">
      <c r="A28" t="s">
        <v>58</v>
      </c>
      <c r="B2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hero.harpyqueen.stage2</v>
      </c>
      <c r="C28" t="str">
        <f>+"skill."&amp;SUBSTITUTE(SUBSTITUTE(LOWER(pictures.concat[[#This Row],[Hero]])," ",""),"-","")</f>
        <v>skill.harpyqueen</v>
      </c>
      <c r="D28" t="str">
        <f>+"talent1."&amp;_xlfn.IFNA(SUBSTITUTE(SUBSTITUTE(LOWER(INDEX(heroes[Talent],MATCH(pictures.concat[[#This Row],[Hero]],heroes[Hero],0)))," ",""),"'",""),"empty")</f>
        <v>talent1.scatter</v>
      </c>
      <c r="E28" t="str">
        <f>+"talent2."&amp;_xlfn.IFNA(SUBSTITUTE(LOWER(INDEX(pictures.talent2[Hero],MATCH(pictures.concat[[#This Row],[Hero]],pictures.talent2[Hero],0)))," ",""),"empty")</f>
        <v>talent2.harpyqueen</v>
      </c>
      <c r="F28" t="str">
        <f>+"crest."&amp;_xlfn.IFNA(IF(INDEX(heroes[Crest Set],MATCH(pictures.concat[[#This Row],[Hero]],heroes[Hero],0))="","empty",SUBSTITUTE(LOWER(INDEX(heroes[Crest Set],MATCH(pictures.concat[[#This Row],[Hero]],heroes[Hero],0)))," ","")),"empty")</f>
        <v>crest.tenacity</v>
      </c>
      <c r="H28" t="s">
        <v>167</v>
      </c>
      <c r="I28" t="str">
        <f>+"concat."&amp;SUBSTITUTE(SUBSTITUTE(LOWER(pictures.concat[[#This Row],[Hero]])," ",""),"-","")&amp;"."</f>
        <v>concat.harpyqueen.</v>
      </c>
      <c r="J28">
        <v>1</v>
      </c>
      <c r="K28">
        <v>2</v>
      </c>
      <c r="L28">
        <v>3</v>
      </c>
      <c r="M28">
        <v>4</v>
      </c>
      <c r="N28">
        <v>5</v>
      </c>
      <c r="O28" t="s">
        <v>184</v>
      </c>
      <c r="P28" t="s">
        <v>174</v>
      </c>
      <c r="Q28" t="s">
        <v>175</v>
      </c>
      <c r="R28" t="s">
        <v>176</v>
      </c>
      <c r="S28" t="s">
        <v>182</v>
      </c>
      <c r="T28" t="s">
        <v>183</v>
      </c>
      <c r="U28" t="s">
        <v>177</v>
      </c>
      <c r="V28">
        <f>+ROW(pictures.concat[[#This Row],[Hero]])</f>
        <v>28</v>
      </c>
      <c r="W28" t="s">
        <v>185</v>
      </c>
      <c r="X28" t="str">
        <f t="shared" si="0"/>
        <v>&lt;definedName name="concat.harpyqueen.1"&gt;INDIRECT('pictures'!$B$28)&lt;/definedName&gt;</v>
      </c>
      <c r="Y28" s="124" t="str">
        <f t="shared" si="1"/>
        <v>&lt;definedName name="concat.harpyqueen.2"&gt;INDIRECT('pictures'!$C$28)&lt;/definedName&gt;</v>
      </c>
      <c r="Z28" s="124" t="str">
        <f t="shared" si="2"/>
        <v>&lt;definedName name="concat.harpyqueen.3"&gt;INDIRECT('pictures'!$D$28)&lt;/definedName&gt;</v>
      </c>
      <c r="AA28" s="124" t="str">
        <f t="shared" si="3"/>
        <v>&lt;definedName name="concat.harpyqueen.4"&gt;INDIRECT('pictures'!$E$28)&lt;/definedName&gt;</v>
      </c>
      <c r="AB28" s="124" t="str">
        <f t="shared" si="4"/>
        <v>&lt;definedName name="concat.harpyqueen.5"&gt;INDIRECT('pictures'!$F$28)&lt;/definedName&gt;</v>
      </c>
      <c r="AC28" s="123"/>
      <c r="AD28" s="123"/>
      <c r="AE28" s="123"/>
      <c r="AF28" s="123"/>
      <c r="AG28" s="123"/>
    </row>
    <row r="29" spans="1:33" x14ac:dyDescent="0.25">
      <c r="A29" t="s">
        <v>59</v>
      </c>
      <c r="B2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hero.heartbreaker.stage2</v>
      </c>
      <c r="C29" t="str">
        <f>+"skill."&amp;SUBSTITUTE(SUBSTITUTE(LOWER(pictures.concat[[#This Row],[Hero]])," ",""),"-","")</f>
        <v>skill.heartbreaker</v>
      </c>
      <c r="D29" t="str">
        <f>+"talent1."&amp;_xlfn.IFNA(SUBSTITUTE(SUBSTITUTE(LOWER(INDEX(heroes[Talent],MATCH(pictures.concat[[#This Row],[Hero]],heroes[Hero],0)))," ",""),"'",""),"empty")</f>
        <v>talent1.bulwark</v>
      </c>
      <c r="E29" t="str">
        <f>+"talent2."&amp;_xlfn.IFNA(SUBSTITUTE(LOWER(INDEX(pictures.talent2[Hero],MATCH(pictures.concat[[#This Row],[Hero]],pictures.talent2[Hero],0)))," ",""),"empty")</f>
        <v>talent2.empty</v>
      </c>
      <c r="F29" t="str">
        <f>+"crest."&amp;_xlfn.IFNA(IF(INDEX(heroes[Crest Set],MATCH(pictures.concat[[#This Row],[Hero]],heroes[Hero],0))="","empty",SUBSTITUTE(LOWER(INDEX(heroes[Crest Set],MATCH(pictures.concat[[#This Row],[Hero]],heroes[Hero],0)))," ","")),"empty")</f>
        <v>crest.revive</v>
      </c>
      <c r="H29" t="s">
        <v>167</v>
      </c>
      <c r="I29" t="str">
        <f>+"concat."&amp;SUBSTITUTE(SUBSTITUTE(LOWER(pictures.concat[[#This Row],[Hero]])," ",""),"-","")&amp;"."</f>
        <v>concat.heartbreaker.</v>
      </c>
      <c r="J29">
        <v>1</v>
      </c>
      <c r="K29">
        <v>2</v>
      </c>
      <c r="L29">
        <v>3</v>
      </c>
      <c r="M29">
        <v>4</v>
      </c>
      <c r="N29">
        <v>5</v>
      </c>
      <c r="O29" t="s">
        <v>184</v>
      </c>
      <c r="P29" t="s">
        <v>174</v>
      </c>
      <c r="Q29" t="s">
        <v>175</v>
      </c>
      <c r="R29" t="s">
        <v>176</v>
      </c>
      <c r="S29" t="s">
        <v>182</v>
      </c>
      <c r="T29" t="s">
        <v>183</v>
      </c>
      <c r="U29" t="s">
        <v>177</v>
      </c>
      <c r="V29">
        <f>+ROW(pictures.concat[[#This Row],[Hero]])</f>
        <v>29</v>
      </c>
      <c r="W29" t="s">
        <v>185</v>
      </c>
      <c r="X29" t="str">
        <f t="shared" si="0"/>
        <v>&lt;definedName name="concat.heartbreaker.1"&gt;INDIRECT('pictures'!$B$29)&lt;/definedName&gt;</v>
      </c>
      <c r="Y29" s="124" t="str">
        <f t="shared" si="1"/>
        <v>&lt;definedName name="concat.heartbreaker.2"&gt;INDIRECT('pictures'!$C$29)&lt;/definedName&gt;</v>
      </c>
      <c r="Z29" s="124" t="str">
        <f t="shared" si="2"/>
        <v>&lt;definedName name="concat.heartbreaker.3"&gt;INDIRECT('pictures'!$D$29)&lt;/definedName&gt;</v>
      </c>
      <c r="AA29" s="124" t="str">
        <f t="shared" si="3"/>
        <v>&lt;definedName name="concat.heartbreaker.4"&gt;INDIRECT('pictures'!$E$29)&lt;/definedName&gt;</v>
      </c>
      <c r="AB29" s="124" t="str">
        <f t="shared" si="4"/>
        <v>&lt;definedName name="concat.heartbreaker.5"&gt;INDIRECT('pictures'!$F$29)&lt;/definedName&gt;</v>
      </c>
      <c r="AC29" s="123"/>
      <c r="AD29" s="123"/>
      <c r="AE29" s="123"/>
      <c r="AF29" s="123"/>
      <c r="AG29" s="123"/>
    </row>
    <row r="30" spans="1:33" x14ac:dyDescent="0.25">
      <c r="A30" t="s">
        <v>60</v>
      </c>
      <c r="B3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hero.hillgiant.stage1</v>
      </c>
      <c r="C30" t="str">
        <f>+"skill."&amp;SUBSTITUTE(SUBSTITUTE(LOWER(pictures.concat[[#This Row],[Hero]])," ",""),"-","")</f>
        <v>skill.hillgiant</v>
      </c>
      <c r="D30" t="str">
        <f>+"talent1."&amp;_xlfn.IFNA(SUBSTITUTE(SUBSTITUTE(LOWER(INDEX(heroes[Talent],MATCH(pictures.concat[[#This Row],[Hero]],heroes[Hero],0)))," ",""),"'",""),"empty")</f>
        <v>talent1.bulwark</v>
      </c>
      <c r="E30" t="str">
        <f>+"talent2."&amp;_xlfn.IFNA(SUBSTITUTE(LOWER(INDEX(pictures.talent2[Hero],MATCH(pictures.concat[[#This Row],[Hero]],pictures.talent2[Hero],0)))," ",""),"empty")</f>
        <v>talent2.empty</v>
      </c>
      <c r="F30" t="str">
        <f>+"crest."&amp;_xlfn.IFNA(IF(INDEX(heroes[Crest Set],MATCH(pictures.concat[[#This Row],[Hero]],heroes[Hero],0))="","empty",SUBSTITUTE(LOWER(INDEX(heroes[Crest Set],MATCH(pictures.concat[[#This Row],[Hero]],heroes[Hero],0)))," ","")),"empty")</f>
        <v>crest.stoneskin</v>
      </c>
      <c r="H30" t="s">
        <v>167</v>
      </c>
      <c r="I30" t="str">
        <f>+"concat."&amp;SUBSTITUTE(SUBSTITUTE(LOWER(pictures.concat[[#This Row],[Hero]])," ",""),"-","")&amp;"."</f>
        <v>concat.hillgiant.</v>
      </c>
      <c r="J30">
        <v>1</v>
      </c>
      <c r="K30">
        <v>2</v>
      </c>
      <c r="L30">
        <v>3</v>
      </c>
      <c r="M30">
        <v>4</v>
      </c>
      <c r="N30">
        <v>5</v>
      </c>
      <c r="O30" t="s">
        <v>184</v>
      </c>
      <c r="P30" t="s">
        <v>174</v>
      </c>
      <c r="Q30" t="s">
        <v>175</v>
      </c>
      <c r="R30" t="s">
        <v>176</v>
      </c>
      <c r="S30" t="s">
        <v>182</v>
      </c>
      <c r="T30" t="s">
        <v>183</v>
      </c>
      <c r="U30" t="s">
        <v>177</v>
      </c>
      <c r="V30">
        <f>+ROW(pictures.concat[[#This Row],[Hero]])</f>
        <v>30</v>
      </c>
      <c r="W30" t="s">
        <v>185</v>
      </c>
      <c r="X30" t="str">
        <f t="shared" si="0"/>
        <v>&lt;definedName name="concat.hillgiant.1"&gt;INDIRECT('pictures'!$B$30)&lt;/definedName&gt;</v>
      </c>
      <c r="Y30" s="124" t="str">
        <f t="shared" si="1"/>
        <v>&lt;definedName name="concat.hillgiant.2"&gt;INDIRECT('pictures'!$C$30)&lt;/definedName&gt;</v>
      </c>
      <c r="Z30" s="124" t="str">
        <f t="shared" si="2"/>
        <v>&lt;definedName name="concat.hillgiant.3"&gt;INDIRECT('pictures'!$D$30)&lt;/definedName&gt;</v>
      </c>
      <c r="AA30" s="124" t="str">
        <f t="shared" si="3"/>
        <v>&lt;definedName name="concat.hillgiant.4"&gt;INDIRECT('pictures'!$E$30)&lt;/definedName&gt;</v>
      </c>
      <c r="AB30" s="124" t="str">
        <f t="shared" si="4"/>
        <v>&lt;definedName name="concat.hillgiant.5"&gt;INDIRECT('pictures'!$F$30)&lt;/definedName&gt;</v>
      </c>
      <c r="AC30" s="123"/>
      <c r="AD30" s="123"/>
      <c r="AE30" s="123"/>
      <c r="AF30" s="123"/>
      <c r="AG30" s="123"/>
    </row>
    <row r="31" spans="1:33" x14ac:dyDescent="0.25">
      <c r="A31" t="s">
        <v>61</v>
      </c>
      <c r="B3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hero.icedemon.stage1</v>
      </c>
      <c r="C31" t="str">
        <f>+"skill."&amp;SUBSTITUTE(SUBSTITUTE(LOWER(pictures.concat[[#This Row],[Hero]])," ",""),"-","")</f>
        <v>skill.icedemon</v>
      </c>
      <c r="D31" t="str">
        <f>+"talent1."&amp;_xlfn.IFNA(SUBSTITUTE(SUBSTITUTE(LOWER(INDEX(heroes[Talent],MATCH(pictures.concat[[#This Row],[Hero]],heroes[Hero],0)))," ",""),"'",""),"empty")</f>
        <v>talent1.slowdown</v>
      </c>
      <c r="E31" t="str">
        <f>+"talent2."&amp;_xlfn.IFNA(SUBSTITUTE(LOWER(INDEX(pictures.talent2[Hero],MATCH(pictures.concat[[#This Row],[Hero]],pictures.talent2[Hero],0)))," ",""),"empty")</f>
        <v>talent2.empty</v>
      </c>
      <c r="F31" t="str">
        <f>+"crest."&amp;_xlfn.IFNA(IF(INDEX(heroes[Crest Set],MATCH(pictures.concat[[#This Row],[Hero]],heroes[Hero],0))="","empty",SUBSTITUTE(LOWER(INDEX(heroes[Crest Set],MATCH(pictures.concat[[#This Row],[Hero]],heroes[Hero],0)))," ","")),"empty")</f>
        <v>crest.empty</v>
      </c>
      <c r="H31" t="s">
        <v>167</v>
      </c>
      <c r="I31" t="str">
        <f>+"concat."&amp;SUBSTITUTE(SUBSTITUTE(LOWER(pictures.concat[[#This Row],[Hero]])," ",""),"-","")&amp;"."</f>
        <v>concat.icedemon.</v>
      </c>
      <c r="J31">
        <v>1</v>
      </c>
      <c r="K31">
        <v>2</v>
      </c>
      <c r="L31">
        <v>3</v>
      </c>
      <c r="M31">
        <v>4</v>
      </c>
      <c r="N31">
        <v>5</v>
      </c>
      <c r="O31" t="s">
        <v>184</v>
      </c>
      <c r="P31" t="s">
        <v>174</v>
      </c>
      <c r="Q31" t="s">
        <v>175</v>
      </c>
      <c r="R31" t="s">
        <v>176</v>
      </c>
      <c r="S31" t="s">
        <v>182</v>
      </c>
      <c r="T31" t="s">
        <v>183</v>
      </c>
      <c r="U31" t="s">
        <v>177</v>
      </c>
      <c r="V31">
        <f>+ROW(pictures.concat[[#This Row],[Hero]])</f>
        <v>31</v>
      </c>
      <c r="W31" t="s">
        <v>185</v>
      </c>
      <c r="X31" t="str">
        <f t="shared" si="0"/>
        <v>&lt;definedName name="concat.icedemon.1"&gt;INDIRECT('pictures'!$B$31)&lt;/definedName&gt;</v>
      </c>
      <c r="Y31" s="124" t="str">
        <f t="shared" si="1"/>
        <v>&lt;definedName name="concat.icedemon.2"&gt;INDIRECT('pictures'!$C$31)&lt;/definedName&gt;</v>
      </c>
      <c r="Z31" s="124" t="str">
        <f t="shared" si="2"/>
        <v>&lt;definedName name="concat.icedemon.3"&gt;INDIRECT('pictures'!$D$31)&lt;/definedName&gt;</v>
      </c>
      <c r="AA31" s="124" t="str">
        <f t="shared" si="3"/>
        <v>&lt;definedName name="concat.icedemon.4"&gt;INDIRECT('pictures'!$E$31)&lt;/definedName&gt;</v>
      </c>
      <c r="AB31" s="124" t="str">
        <f t="shared" si="4"/>
        <v>&lt;definedName name="concat.icedemon.5"&gt;INDIRECT('pictures'!$F$31)&lt;/definedName&gt;</v>
      </c>
      <c r="AC31" s="123"/>
      <c r="AD31" s="123"/>
      <c r="AE31" s="123"/>
      <c r="AF31" s="123"/>
      <c r="AG31" s="123"/>
    </row>
    <row r="32" spans="1:33" x14ac:dyDescent="0.25">
      <c r="A32" t="s">
        <v>62</v>
      </c>
      <c r="B3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hero.immortep.stage1</v>
      </c>
      <c r="C32" t="str">
        <f>+"skill."&amp;SUBSTITUTE(SUBSTITUTE(LOWER(pictures.concat[[#This Row],[Hero]])," ",""),"-","")</f>
        <v>skill.immortep</v>
      </c>
      <c r="D32" t="str">
        <f>+"talent1."&amp;_xlfn.IFNA(SUBSTITUTE(SUBSTITUTE(LOWER(INDEX(heroes[Talent],MATCH(pictures.concat[[#This Row],[Hero]],heroes[Hero],0)))," ",""),"'",""),"empty")</f>
        <v>talent1.deadlystrike</v>
      </c>
      <c r="E32" t="str">
        <f>+"talent2."&amp;_xlfn.IFNA(SUBSTITUTE(LOWER(INDEX(pictures.talent2[Hero],MATCH(pictures.concat[[#This Row],[Hero]],pictures.talent2[Hero],0)))," ",""),"empty")</f>
        <v>talent2.empty</v>
      </c>
      <c r="F32" t="str">
        <f>+"crest."&amp;_xlfn.IFNA(IF(INDEX(heroes[Crest Set],MATCH(pictures.concat[[#This Row],[Hero]],heroes[Hero],0))="","empty",SUBSTITUTE(LOWER(INDEX(heroes[Crest Set],MATCH(pictures.concat[[#This Row],[Hero]],heroes[Hero],0)))," ","")),"empty")</f>
        <v>crest.empty</v>
      </c>
      <c r="H32" t="s">
        <v>167</v>
      </c>
      <c r="I32" t="str">
        <f>+"concat."&amp;SUBSTITUTE(SUBSTITUTE(LOWER(pictures.concat[[#This Row],[Hero]])," ",""),"-","")&amp;"."</f>
        <v>concat.immortep.</v>
      </c>
      <c r="J32">
        <v>1</v>
      </c>
      <c r="K32">
        <v>2</v>
      </c>
      <c r="L32">
        <v>3</v>
      </c>
      <c r="M32">
        <v>4</v>
      </c>
      <c r="N32">
        <v>5</v>
      </c>
      <c r="O32" t="s">
        <v>184</v>
      </c>
      <c r="P32" t="s">
        <v>174</v>
      </c>
      <c r="Q32" t="s">
        <v>175</v>
      </c>
      <c r="R32" t="s">
        <v>176</v>
      </c>
      <c r="S32" t="s">
        <v>182</v>
      </c>
      <c r="T32" t="s">
        <v>183</v>
      </c>
      <c r="U32" t="s">
        <v>177</v>
      </c>
      <c r="V32">
        <f>+ROW(pictures.concat[[#This Row],[Hero]])</f>
        <v>32</v>
      </c>
      <c r="W32" t="s">
        <v>185</v>
      </c>
      <c r="X32" t="str">
        <f t="shared" si="0"/>
        <v>&lt;definedName name="concat.immortep.1"&gt;INDIRECT('pictures'!$B$32)&lt;/definedName&gt;</v>
      </c>
      <c r="Y32" s="124" t="str">
        <f t="shared" si="1"/>
        <v>&lt;definedName name="concat.immortep.2"&gt;INDIRECT('pictures'!$C$32)&lt;/definedName&gt;</v>
      </c>
      <c r="Z32" s="124" t="str">
        <f t="shared" si="2"/>
        <v>&lt;definedName name="concat.immortep.3"&gt;INDIRECT('pictures'!$D$32)&lt;/definedName&gt;</v>
      </c>
      <c r="AA32" s="124" t="str">
        <f t="shared" si="3"/>
        <v>&lt;definedName name="concat.immortep.4"&gt;INDIRECT('pictures'!$E$32)&lt;/definedName&gt;</v>
      </c>
      <c r="AB32" s="124" t="str">
        <f t="shared" si="4"/>
        <v>&lt;definedName name="concat.immortep.5"&gt;INDIRECT('pictures'!$F$32)&lt;/definedName&gt;</v>
      </c>
      <c r="AC32" s="123"/>
      <c r="AD32" s="123"/>
      <c r="AE32" s="123"/>
      <c r="AF32" s="123"/>
      <c r="AG32" s="123"/>
    </row>
    <row r="33" spans="1:33" x14ac:dyDescent="0.25">
      <c r="A33" t="s">
        <v>63</v>
      </c>
      <c r="B3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hero.ladyleo.stage2</v>
      </c>
      <c r="C33" t="str">
        <f>+"skill."&amp;SUBSTITUTE(SUBSTITUTE(LOWER(pictures.concat[[#This Row],[Hero]])," ",""),"-","")</f>
        <v>skill.ladyleo</v>
      </c>
      <c r="D33" t="str">
        <f>+"talent1."&amp;_xlfn.IFNA(SUBSTITUTE(SUBSTITUTE(LOWER(INDEX(heroes[Talent],MATCH(pictures.concat[[#This Row],[Hero]],heroes[Hero],0)))," ",""),"'",""),"empty")</f>
        <v>talent1.enlighten</v>
      </c>
      <c r="E33" t="str">
        <f>+"talent2."&amp;_xlfn.IFNA(SUBSTITUTE(LOWER(INDEX(pictures.talent2[Hero],MATCH(pictures.concat[[#This Row],[Hero]],pictures.talent2[Hero],0)))," ",""),"empty")</f>
        <v>talent2.ladyleo</v>
      </c>
      <c r="F33" t="str">
        <f>+"crest."&amp;_xlfn.IFNA(IF(INDEX(heroes[Crest Set],MATCH(pictures.concat[[#This Row],[Hero]],heroes[Hero],0))="","empty",SUBSTITUTE(LOWER(INDEX(heroes[Crest Set],MATCH(pictures.concat[[#This Row],[Hero]],heroes[Hero],0)))," ","")),"empty")</f>
        <v>crest.empty</v>
      </c>
      <c r="H33" t="s">
        <v>167</v>
      </c>
      <c r="I33" t="str">
        <f>+"concat."&amp;SUBSTITUTE(SUBSTITUTE(LOWER(pictures.concat[[#This Row],[Hero]])," ",""),"-","")&amp;"."</f>
        <v>concat.ladyleo.</v>
      </c>
      <c r="J33">
        <v>1</v>
      </c>
      <c r="K33">
        <v>2</v>
      </c>
      <c r="L33">
        <v>3</v>
      </c>
      <c r="M33">
        <v>4</v>
      </c>
      <c r="N33">
        <v>5</v>
      </c>
      <c r="O33" t="s">
        <v>184</v>
      </c>
      <c r="P33" t="s">
        <v>174</v>
      </c>
      <c r="Q33" t="s">
        <v>175</v>
      </c>
      <c r="R33" t="s">
        <v>176</v>
      </c>
      <c r="S33" t="s">
        <v>182</v>
      </c>
      <c r="T33" t="s">
        <v>183</v>
      </c>
      <c r="U33" t="s">
        <v>177</v>
      </c>
      <c r="V33">
        <f>+ROW(pictures.concat[[#This Row],[Hero]])</f>
        <v>33</v>
      </c>
      <c r="W33" t="s">
        <v>185</v>
      </c>
      <c r="X33" t="str">
        <f t="shared" si="0"/>
        <v>&lt;definedName name="concat.ladyleo.1"&gt;INDIRECT('pictures'!$B$33)&lt;/definedName&gt;</v>
      </c>
      <c r="Y33" s="124" t="str">
        <f t="shared" si="1"/>
        <v>&lt;definedName name="concat.ladyleo.2"&gt;INDIRECT('pictures'!$C$33)&lt;/definedName&gt;</v>
      </c>
      <c r="Z33" s="124" t="str">
        <f t="shared" si="2"/>
        <v>&lt;definedName name="concat.ladyleo.3"&gt;INDIRECT('pictures'!$D$33)&lt;/definedName&gt;</v>
      </c>
      <c r="AA33" s="124" t="str">
        <f t="shared" si="3"/>
        <v>&lt;definedName name="concat.ladyleo.4"&gt;INDIRECT('pictures'!$E$33)&lt;/definedName&gt;</v>
      </c>
      <c r="AB33" s="124" t="str">
        <f t="shared" si="4"/>
        <v>&lt;definedName name="concat.ladyleo.5"&gt;INDIRECT('pictures'!$F$33)&lt;/definedName&gt;</v>
      </c>
      <c r="AC33" s="123"/>
      <c r="AD33" s="123"/>
      <c r="AE33" s="123"/>
      <c r="AF33" s="123"/>
      <c r="AG33" s="123"/>
    </row>
    <row r="34" spans="1:33" x14ac:dyDescent="0.25">
      <c r="A34" t="s">
        <v>64</v>
      </c>
      <c r="B3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hero.lilnick.stage1</v>
      </c>
      <c r="C34" t="str">
        <f>+"skill."&amp;SUBSTITUTE(SUBSTITUTE(LOWER(pictures.concat[[#This Row],[Hero]])," ",""),"-","")</f>
        <v>skill.lilnick</v>
      </c>
      <c r="D34" t="str">
        <f>+"talent1."&amp;_xlfn.IFNA(SUBSTITUTE(SUBSTITUTE(LOWER(INDEX(heroes[Talent],MATCH(pictures.concat[[#This Row],[Hero]],heroes[Hero],0)))," ",""),"'",""),"empty")</f>
        <v>talent1.enlighten</v>
      </c>
      <c r="E34" t="str">
        <f>+"talent2."&amp;_xlfn.IFNA(SUBSTITUTE(LOWER(INDEX(pictures.talent2[Hero],MATCH(pictures.concat[[#This Row],[Hero]],pictures.talent2[Hero],0)))," ",""),"empty")</f>
        <v>talent2.empty</v>
      </c>
      <c r="F34" t="str">
        <f>+"crest."&amp;_xlfn.IFNA(IF(INDEX(heroes[Crest Set],MATCH(pictures.concat[[#This Row],[Hero]],heroes[Hero],0))="","empty",SUBSTITUTE(LOWER(INDEX(heroes[Crest Set],MATCH(pictures.concat[[#This Row],[Hero]],heroes[Hero],0)))," ","")),"empty")</f>
        <v>crest.revive</v>
      </c>
      <c r="H34" t="s">
        <v>167</v>
      </c>
      <c r="I34" t="str">
        <f>+"concat."&amp;SUBSTITUTE(SUBSTITUTE(LOWER(pictures.concat[[#This Row],[Hero]])," ",""),"-","")&amp;"."</f>
        <v>concat.lilnick.</v>
      </c>
      <c r="J34">
        <v>1</v>
      </c>
      <c r="K34">
        <v>2</v>
      </c>
      <c r="L34">
        <v>3</v>
      </c>
      <c r="M34">
        <v>4</v>
      </c>
      <c r="N34">
        <v>5</v>
      </c>
      <c r="O34" t="s">
        <v>184</v>
      </c>
      <c r="P34" t="s">
        <v>174</v>
      </c>
      <c r="Q34" t="s">
        <v>175</v>
      </c>
      <c r="R34" t="s">
        <v>176</v>
      </c>
      <c r="S34" t="s">
        <v>182</v>
      </c>
      <c r="T34" t="s">
        <v>183</v>
      </c>
      <c r="U34" t="s">
        <v>177</v>
      </c>
      <c r="V34">
        <f>+ROW(pictures.concat[[#This Row],[Hero]])</f>
        <v>34</v>
      </c>
      <c r="W34" t="s">
        <v>185</v>
      </c>
      <c r="X34" t="str">
        <f t="shared" si="0"/>
        <v>&lt;definedName name="concat.lilnick.1"&gt;INDIRECT('pictures'!$B$34)&lt;/definedName&gt;</v>
      </c>
      <c r="Y34" s="124" t="str">
        <f t="shared" si="1"/>
        <v>&lt;definedName name="concat.lilnick.2"&gt;INDIRECT('pictures'!$C$34)&lt;/definedName&gt;</v>
      </c>
      <c r="Z34" s="124" t="str">
        <f t="shared" si="2"/>
        <v>&lt;definedName name="concat.lilnick.3"&gt;INDIRECT('pictures'!$D$34)&lt;/definedName&gt;</v>
      </c>
      <c r="AA34" s="124" t="str">
        <f t="shared" si="3"/>
        <v>&lt;definedName name="concat.lilnick.4"&gt;INDIRECT('pictures'!$E$34)&lt;/definedName&gt;</v>
      </c>
      <c r="AB34" s="124" t="str">
        <f t="shared" si="4"/>
        <v>&lt;definedName name="concat.lilnick.5"&gt;INDIRECT('pictures'!$F$34)&lt;/definedName&gt;</v>
      </c>
      <c r="AC34" s="123"/>
      <c r="AD34" s="123"/>
      <c r="AE34" s="123"/>
      <c r="AF34" s="123"/>
      <c r="AG34" s="123"/>
    </row>
    <row r="35" spans="1:33" x14ac:dyDescent="0.25">
      <c r="A35" t="s">
        <v>65</v>
      </c>
      <c r="B35"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hero.marauder.stage1</v>
      </c>
      <c r="C35" t="str">
        <f>+"skill."&amp;SUBSTITUTE(SUBSTITUTE(LOWER(pictures.concat[[#This Row],[Hero]])," ",""),"-","")</f>
        <v>skill.marauder</v>
      </c>
      <c r="D35" t="str">
        <f>+"talent1."&amp;_xlfn.IFNA(SUBSTITUTE(SUBSTITUTE(LOWER(INDEX(heroes[Talent],MATCH(pictures.concat[[#This Row],[Hero]],heroes[Hero],0)))," ",""),"'",""),"empty")</f>
        <v>talent1.condemnation</v>
      </c>
      <c r="E35" t="str">
        <f>+"talent2."&amp;_xlfn.IFNA(SUBSTITUTE(LOWER(INDEX(pictures.talent2[Hero],MATCH(pictures.concat[[#This Row],[Hero]],pictures.talent2[Hero],0)))," ",""),"empty")</f>
        <v>talent2.empty</v>
      </c>
      <c r="F35" t="str">
        <f>+"crest."&amp;_xlfn.IFNA(IF(INDEX(heroes[Crest Set],MATCH(pictures.concat[[#This Row],[Hero]],heroes[Hero],0))="","empty",SUBSTITUTE(LOWER(INDEX(heroes[Crest Set],MATCH(pictures.concat[[#This Row],[Hero]],heroes[Hero],0)))," ","")),"empty")</f>
        <v>crest.empty</v>
      </c>
      <c r="H35" t="s">
        <v>167</v>
      </c>
      <c r="I35" t="str">
        <f>+"concat."&amp;SUBSTITUTE(SUBSTITUTE(LOWER(pictures.concat[[#This Row],[Hero]])," ",""),"-","")&amp;"."</f>
        <v>concat.marauder.</v>
      </c>
      <c r="J35">
        <v>1</v>
      </c>
      <c r="K35">
        <v>2</v>
      </c>
      <c r="L35">
        <v>3</v>
      </c>
      <c r="M35">
        <v>4</v>
      </c>
      <c r="N35">
        <v>5</v>
      </c>
      <c r="O35" t="s">
        <v>184</v>
      </c>
      <c r="P35" t="s">
        <v>174</v>
      </c>
      <c r="Q35" t="s">
        <v>175</v>
      </c>
      <c r="R35" t="s">
        <v>176</v>
      </c>
      <c r="S35" t="s">
        <v>182</v>
      </c>
      <c r="T35" t="s">
        <v>183</v>
      </c>
      <c r="U35" t="s">
        <v>177</v>
      </c>
      <c r="V35">
        <f>+ROW(pictures.concat[[#This Row],[Hero]])</f>
        <v>35</v>
      </c>
      <c r="W35" t="s">
        <v>185</v>
      </c>
      <c r="X35" t="str">
        <f t="shared" si="0"/>
        <v>&lt;definedName name="concat.marauder.1"&gt;INDIRECT('pictures'!$B$35)&lt;/definedName&gt;</v>
      </c>
      <c r="Y35" s="124" t="str">
        <f t="shared" si="1"/>
        <v>&lt;definedName name="concat.marauder.2"&gt;INDIRECT('pictures'!$C$35)&lt;/definedName&gt;</v>
      </c>
      <c r="Z35" s="124" t="str">
        <f t="shared" si="2"/>
        <v>&lt;definedName name="concat.marauder.3"&gt;INDIRECT('pictures'!$D$35)&lt;/definedName&gt;</v>
      </c>
      <c r="AA35" s="124" t="str">
        <f t="shared" si="3"/>
        <v>&lt;definedName name="concat.marauder.4"&gt;INDIRECT('pictures'!$E$35)&lt;/definedName&gt;</v>
      </c>
      <c r="AB35" s="124" t="str">
        <f t="shared" si="4"/>
        <v>&lt;definedName name="concat.marauder.5"&gt;INDIRECT('pictures'!$F$35)&lt;/definedName&gt;</v>
      </c>
      <c r="AC35" s="123"/>
      <c r="AD35" s="123"/>
      <c r="AE35" s="123"/>
      <c r="AF35" s="123"/>
      <c r="AG35" s="123"/>
    </row>
    <row r="36" spans="1:33" x14ac:dyDescent="0.25">
      <c r="A36" t="s">
        <v>66</v>
      </c>
      <c r="B3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hero.marksman.stage1</v>
      </c>
      <c r="C36" t="str">
        <f>+"skill."&amp;SUBSTITUTE(SUBSTITUTE(LOWER(pictures.concat[[#This Row],[Hero]])," ",""),"-","")</f>
        <v>skill.marksman</v>
      </c>
      <c r="D36" t="str">
        <f>+"talent1."&amp;_xlfn.IFNA(SUBSTITUTE(SUBSTITUTE(LOWER(INDEX(heroes[Talent],MATCH(pictures.concat[[#This Row],[Hero]],heroes[Hero],0)))," ",""),"'",""),"empty")</f>
        <v>talent1.lifedrain</v>
      </c>
      <c r="E36" t="str">
        <f>+"talent2."&amp;_xlfn.IFNA(SUBSTITUTE(LOWER(INDEX(pictures.talent2[Hero],MATCH(pictures.concat[[#This Row],[Hero]],pictures.talent2[Hero],0)))," ",""),"empty")</f>
        <v>talent2.empty</v>
      </c>
      <c r="F36" t="str">
        <f>+"crest."&amp;_xlfn.IFNA(IF(INDEX(heroes[Crest Set],MATCH(pictures.concat[[#This Row],[Hero]],heroes[Hero],0))="","empty",SUBSTITUTE(LOWER(INDEX(heroes[Crest Set],MATCH(pictures.concat[[#This Row],[Hero]],heroes[Hero],0)))," ","")),"empty")</f>
        <v>crest.empty</v>
      </c>
      <c r="H36" t="s">
        <v>167</v>
      </c>
      <c r="I36" t="str">
        <f>+"concat."&amp;SUBSTITUTE(SUBSTITUTE(LOWER(pictures.concat[[#This Row],[Hero]])," ",""),"-","")&amp;"."</f>
        <v>concat.marksman.</v>
      </c>
      <c r="J36">
        <v>1</v>
      </c>
      <c r="K36">
        <v>2</v>
      </c>
      <c r="L36">
        <v>3</v>
      </c>
      <c r="M36">
        <v>4</v>
      </c>
      <c r="N36">
        <v>5</v>
      </c>
      <c r="O36" t="s">
        <v>184</v>
      </c>
      <c r="P36" t="s">
        <v>174</v>
      </c>
      <c r="Q36" t="s">
        <v>175</v>
      </c>
      <c r="R36" t="s">
        <v>176</v>
      </c>
      <c r="S36" t="s">
        <v>182</v>
      </c>
      <c r="T36" t="s">
        <v>183</v>
      </c>
      <c r="U36" t="s">
        <v>177</v>
      </c>
      <c r="V36">
        <f>+ROW(pictures.concat[[#This Row],[Hero]])</f>
        <v>36</v>
      </c>
      <c r="W36" t="s">
        <v>185</v>
      </c>
      <c r="X36" t="str">
        <f t="shared" si="0"/>
        <v>&lt;definedName name="concat.marksman.1"&gt;INDIRECT('pictures'!$B$36)&lt;/definedName&gt;</v>
      </c>
      <c r="Y36" s="124" t="str">
        <f t="shared" si="1"/>
        <v>&lt;definedName name="concat.marksman.2"&gt;INDIRECT('pictures'!$C$36)&lt;/definedName&gt;</v>
      </c>
      <c r="Z36" s="124" t="str">
        <f t="shared" si="2"/>
        <v>&lt;definedName name="concat.marksman.3"&gt;INDIRECT('pictures'!$D$36)&lt;/definedName&gt;</v>
      </c>
      <c r="AA36" s="124" t="str">
        <f t="shared" si="3"/>
        <v>&lt;definedName name="concat.marksman.4"&gt;INDIRECT('pictures'!$E$36)&lt;/definedName&gt;</v>
      </c>
      <c r="AB36" s="124" t="str">
        <f t="shared" si="4"/>
        <v>&lt;definedName name="concat.marksman.5"&gt;INDIRECT('pictures'!$F$36)&lt;/definedName&gt;</v>
      </c>
      <c r="AC36" s="123"/>
      <c r="AD36" s="123"/>
      <c r="AE36" s="123"/>
      <c r="AF36" s="123"/>
      <c r="AG36" s="123"/>
    </row>
    <row r="37" spans="1:33" x14ac:dyDescent="0.25">
      <c r="A37" t="s">
        <v>67</v>
      </c>
      <c r="B3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hero.medusa.stage1</v>
      </c>
      <c r="C37" t="str">
        <f>+"skill."&amp;SUBSTITUTE(SUBSTITUTE(LOWER(pictures.concat[[#This Row],[Hero]])," ",""),"-","")</f>
        <v>skill.medusa</v>
      </c>
      <c r="D37" t="str">
        <f>+"talent1."&amp;_xlfn.IFNA(SUBSTITUTE(SUBSTITUTE(LOWER(INDEX(heroes[Talent],MATCH(pictures.concat[[#This Row],[Hero]],heroes[Hero],0)))," ",""),"'",""),"empty")</f>
        <v>talent1.revitalize</v>
      </c>
      <c r="E37" t="str">
        <f>+"talent2."&amp;_xlfn.IFNA(SUBSTITUTE(LOWER(INDEX(pictures.talent2[Hero],MATCH(pictures.concat[[#This Row],[Hero]],pictures.talent2[Hero],0)))," ",""),"empty")</f>
        <v>talent2.empty</v>
      </c>
      <c r="F37" t="str">
        <f>+"crest."&amp;_xlfn.IFNA(IF(INDEX(heroes[Crest Set],MATCH(pictures.concat[[#This Row],[Hero]],heroes[Hero],0))="","empty",SUBSTITUTE(LOWER(INDEX(heroes[Crest Set],MATCH(pictures.concat[[#This Row],[Hero]],heroes[Hero],0)))," ","")),"empty")</f>
        <v>crest.bulwark</v>
      </c>
      <c r="H37" t="s">
        <v>167</v>
      </c>
      <c r="I37" t="str">
        <f>+"concat."&amp;SUBSTITUTE(SUBSTITUTE(LOWER(pictures.concat[[#This Row],[Hero]])," ",""),"-","")&amp;"."</f>
        <v>concat.medusa.</v>
      </c>
      <c r="J37">
        <v>1</v>
      </c>
      <c r="K37">
        <v>2</v>
      </c>
      <c r="L37">
        <v>3</v>
      </c>
      <c r="M37">
        <v>4</v>
      </c>
      <c r="N37">
        <v>5</v>
      </c>
      <c r="O37" t="s">
        <v>184</v>
      </c>
      <c r="P37" t="s">
        <v>174</v>
      </c>
      <c r="Q37" t="s">
        <v>175</v>
      </c>
      <c r="R37" t="s">
        <v>176</v>
      </c>
      <c r="S37" t="s">
        <v>182</v>
      </c>
      <c r="T37" t="s">
        <v>183</v>
      </c>
      <c r="U37" t="s">
        <v>177</v>
      </c>
      <c r="V37">
        <f>+ROW(pictures.concat[[#This Row],[Hero]])</f>
        <v>37</v>
      </c>
      <c r="W37" t="s">
        <v>185</v>
      </c>
      <c r="X37" t="str">
        <f t="shared" si="0"/>
        <v>&lt;definedName name="concat.medusa.1"&gt;INDIRECT('pictures'!$B$37)&lt;/definedName&gt;</v>
      </c>
      <c r="Y37" s="124" t="str">
        <f t="shared" si="1"/>
        <v>&lt;definedName name="concat.medusa.2"&gt;INDIRECT('pictures'!$C$37)&lt;/definedName&gt;</v>
      </c>
      <c r="Z37" s="124" t="str">
        <f t="shared" si="2"/>
        <v>&lt;definedName name="concat.medusa.3"&gt;INDIRECT('pictures'!$D$37)&lt;/definedName&gt;</v>
      </c>
      <c r="AA37" s="124" t="str">
        <f t="shared" si="3"/>
        <v>&lt;definedName name="concat.medusa.4"&gt;INDIRECT('pictures'!$E$37)&lt;/definedName&gt;</v>
      </c>
      <c r="AB37" s="124" t="str">
        <f t="shared" si="4"/>
        <v>&lt;definedName name="concat.medusa.5"&gt;INDIRECT('pictures'!$F$37)&lt;/definedName&gt;</v>
      </c>
      <c r="AC37" s="123"/>
      <c r="AD37" s="123"/>
      <c r="AE37" s="123"/>
      <c r="AF37" s="123"/>
      <c r="AG37" s="123"/>
    </row>
    <row r="38" spans="1:33" x14ac:dyDescent="0.25">
      <c r="A38" t="s">
        <v>68</v>
      </c>
      <c r="B3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hero.michael.stage1</v>
      </c>
      <c r="C38" t="str">
        <f>+"skill."&amp;SUBSTITUTE(SUBSTITUTE(LOWER(pictures.concat[[#This Row],[Hero]])," ",""),"-","")</f>
        <v>skill.michael</v>
      </c>
      <c r="D38" t="str">
        <f>+"talent1."&amp;_xlfn.IFNA(SUBSTITUTE(SUBSTITUTE(LOWER(INDEX(heroes[Talent],MATCH(pictures.concat[[#This Row],[Hero]],heroes[Hero],0)))," ",""),"'",""),"empty")</f>
        <v>talent1.tenacity</v>
      </c>
      <c r="E38" t="str">
        <f>+"talent2."&amp;_xlfn.IFNA(SUBSTITUTE(LOWER(INDEX(pictures.talent2[Hero],MATCH(pictures.concat[[#This Row],[Hero]],pictures.talent2[Hero],0)))," ",""),"empty")</f>
        <v>talent2.empty</v>
      </c>
      <c r="F38" t="str">
        <f>+"crest."&amp;_xlfn.IFNA(IF(INDEX(heroes[Crest Set],MATCH(pictures.concat[[#This Row],[Hero]],heroes[Hero],0))="","empty",SUBSTITUTE(LOWER(INDEX(heroes[Crest Set],MATCH(pictures.concat[[#This Row],[Hero]],heroes[Hero],0)))," ","")),"empty")</f>
        <v>crest.empty</v>
      </c>
      <c r="H38" t="s">
        <v>167</v>
      </c>
      <c r="I38" t="str">
        <f>+"concat."&amp;SUBSTITUTE(SUBSTITUTE(LOWER(pictures.concat[[#This Row],[Hero]])," ",""),"-","")&amp;"."</f>
        <v>concat.michael.</v>
      </c>
      <c r="J38">
        <v>1</v>
      </c>
      <c r="K38">
        <v>2</v>
      </c>
      <c r="L38">
        <v>3</v>
      </c>
      <c r="M38">
        <v>4</v>
      </c>
      <c r="N38">
        <v>5</v>
      </c>
      <c r="O38" t="s">
        <v>184</v>
      </c>
      <c r="P38" t="s">
        <v>174</v>
      </c>
      <c r="Q38" t="s">
        <v>175</v>
      </c>
      <c r="R38" t="s">
        <v>176</v>
      </c>
      <c r="S38" t="s">
        <v>182</v>
      </c>
      <c r="T38" t="s">
        <v>183</v>
      </c>
      <c r="U38" t="s">
        <v>177</v>
      </c>
      <c r="V38">
        <f>+ROW(pictures.concat[[#This Row],[Hero]])</f>
        <v>38</v>
      </c>
      <c r="W38" t="s">
        <v>185</v>
      </c>
      <c r="X38" t="str">
        <f t="shared" si="0"/>
        <v>&lt;definedName name="concat.michael.1"&gt;INDIRECT('pictures'!$B$38)&lt;/definedName&gt;</v>
      </c>
      <c r="Y38" s="124" t="str">
        <f t="shared" si="1"/>
        <v>&lt;definedName name="concat.michael.2"&gt;INDIRECT('pictures'!$C$38)&lt;/definedName&gt;</v>
      </c>
      <c r="Z38" s="124" t="str">
        <f t="shared" si="2"/>
        <v>&lt;definedName name="concat.michael.3"&gt;INDIRECT('pictures'!$D$38)&lt;/definedName&gt;</v>
      </c>
      <c r="AA38" s="124" t="str">
        <f t="shared" si="3"/>
        <v>&lt;definedName name="concat.michael.4"&gt;INDIRECT('pictures'!$E$38)&lt;/definedName&gt;</v>
      </c>
      <c r="AB38" s="124" t="str">
        <f t="shared" si="4"/>
        <v>&lt;definedName name="concat.michael.5"&gt;INDIRECT('pictures'!$F$38)&lt;/definedName&gt;</v>
      </c>
      <c r="AC38" s="123"/>
      <c r="AD38" s="123"/>
      <c r="AE38" s="123"/>
      <c r="AF38" s="123"/>
      <c r="AG38" s="123"/>
    </row>
    <row r="39" spans="1:33" x14ac:dyDescent="0.25">
      <c r="A39" t="s">
        <v>69</v>
      </c>
      <c r="B3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hero.minotaurchieftain.stage2</v>
      </c>
      <c r="C39" t="str">
        <f>+"skill."&amp;SUBSTITUTE(SUBSTITUTE(LOWER(pictures.concat[[#This Row],[Hero]])," ",""),"-","")</f>
        <v>skill.minotaurchieftain</v>
      </c>
      <c r="D39" t="str">
        <f>+"talent1."&amp;_xlfn.IFNA(SUBSTITUTE(SUBSTITUTE(LOWER(INDEX(heroes[Talent],MATCH(pictures.concat[[#This Row],[Hero]],heroes[Hero],0)))," ",""),"'",""),"empty")</f>
        <v>talent1.enlighten</v>
      </c>
      <c r="E39" t="str">
        <f>+"talent2."&amp;_xlfn.IFNA(SUBSTITUTE(LOWER(INDEX(pictures.talent2[Hero],MATCH(pictures.concat[[#This Row],[Hero]],pictures.talent2[Hero],0)))," ",""),"empty")</f>
        <v>talent2.empty</v>
      </c>
      <c r="F39" t="str">
        <f>+"crest."&amp;_xlfn.IFNA(IF(INDEX(heroes[Crest Set],MATCH(pictures.concat[[#This Row],[Hero]],heroes[Hero],0))="","empty",SUBSTITUTE(LOWER(INDEX(heroes[Crest Set],MATCH(pictures.concat[[#This Row],[Hero]],heroes[Hero],0)))," ","")),"empty")</f>
        <v>crest.wargod</v>
      </c>
      <c r="H39" t="s">
        <v>167</v>
      </c>
      <c r="I39" t="str">
        <f>+"concat."&amp;SUBSTITUTE(SUBSTITUTE(LOWER(pictures.concat[[#This Row],[Hero]])," ",""),"-","")&amp;"."</f>
        <v>concat.minotaurchieftain.</v>
      </c>
      <c r="J39">
        <v>1</v>
      </c>
      <c r="K39">
        <v>2</v>
      </c>
      <c r="L39">
        <v>3</v>
      </c>
      <c r="M39">
        <v>4</v>
      </c>
      <c r="N39">
        <v>5</v>
      </c>
      <c r="O39" t="s">
        <v>184</v>
      </c>
      <c r="P39" t="s">
        <v>174</v>
      </c>
      <c r="Q39" t="s">
        <v>175</v>
      </c>
      <c r="R39" t="s">
        <v>176</v>
      </c>
      <c r="S39" t="s">
        <v>182</v>
      </c>
      <c r="T39" t="s">
        <v>183</v>
      </c>
      <c r="U39" t="s">
        <v>177</v>
      </c>
      <c r="V39">
        <f>+ROW(pictures.concat[[#This Row],[Hero]])</f>
        <v>39</v>
      </c>
      <c r="W39" t="s">
        <v>185</v>
      </c>
      <c r="X39" t="str">
        <f t="shared" si="0"/>
        <v>&lt;definedName name="concat.minotaurchieftain.1"&gt;INDIRECT('pictures'!$B$39)&lt;/definedName&gt;</v>
      </c>
      <c r="Y39" s="124" t="str">
        <f t="shared" si="1"/>
        <v>&lt;definedName name="concat.minotaurchieftain.2"&gt;INDIRECT('pictures'!$C$39)&lt;/definedName&gt;</v>
      </c>
      <c r="Z39" s="124" t="str">
        <f t="shared" si="2"/>
        <v>&lt;definedName name="concat.minotaurchieftain.3"&gt;INDIRECT('pictures'!$D$39)&lt;/definedName&gt;</v>
      </c>
      <c r="AA39" s="124" t="str">
        <f t="shared" si="3"/>
        <v>&lt;definedName name="concat.minotaurchieftain.4"&gt;INDIRECT('pictures'!$E$39)&lt;/definedName&gt;</v>
      </c>
      <c r="AB39" s="124" t="str">
        <f t="shared" si="4"/>
        <v>&lt;definedName name="concat.minotaurchieftain.5"&gt;INDIRECT('pictures'!$F$39)&lt;/definedName&gt;</v>
      </c>
      <c r="AC39" s="123"/>
      <c r="AD39" s="123"/>
      <c r="AE39" s="123"/>
      <c r="AF39" s="123"/>
      <c r="AG39" s="123"/>
    </row>
    <row r="40" spans="1:33" x14ac:dyDescent="0.25">
      <c r="A40" t="s">
        <v>70</v>
      </c>
      <c r="B4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hero.moltanica.stage1</v>
      </c>
      <c r="C40" t="str">
        <f>+"skill."&amp;SUBSTITUTE(SUBSTITUTE(LOWER(pictures.concat[[#This Row],[Hero]])," ",""),"-","")</f>
        <v>skill.moltanica</v>
      </c>
      <c r="D40" t="str">
        <f>+"talent1."&amp;_xlfn.IFNA(SUBSTITUTE(SUBSTITUTE(LOWER(INDEX(heroes[Talent],MATCH(pictures.concat[[#This Row],[Hero]],heroes[Hero],0)))," ",""),"'",""),"empty")</f>
        <v>talent1.scatter</v>
      </c>
      <c r="E40" t="str">
        <f>+"talent2."&amp;_xlfn.IFNA(SUBSTITUTE(LOWER(INDEX(pictures.talent2[Hero],MATCH(pictures.concat[[#This Row],[Hero]],pictures.talent2[Hero],0)))," ",""),"empty")</f>
        <v>talent2.empty</v>
      </c>
      <c r="F40" t="str">
        <f>+"crest."&amp;_xlfn.IFNA(IF(INDEX(heroes[Crest Set],MATCH(pictures.concat[[#This Row],[Hero]],heroes[Hero],0))="","empty",SUBSTITUTE(LOWER(INDEX(heroes[Crest Set],MATCH(pictures.concat[[#This Row],[Hero]],heroes[Hero],0)))," ","")),"empty")</f>
        <v>crest.empty</v>
      </c>
      <c r="H40" t="s">
        <v>167</v>
      </c>
      <c r="I40" t="str">
        <f>+"concat."&amp;SUBSTITUTE(SUBSTITUTE(LOWER(pictures.concat[[#This Row],[Hero]])," ",""),"-","")&amp;"."</f>
        <v>concat.moltanica.</v>
      </c>
      <c r="J40">
        <v>1</v>
      </c>
      <c r="K40">
        <v>2</v>
      </c>
      <c r="L40">
        <v>3</v>
      </c>
      <c r="M40">
        <v>4</v>
      </c>
      <c r="N40">
        <v>5</v>
      </c>
      <c r="O40" t="s">
        <v>184</v>
      </c>
      <c r="P40" t="s">
        <v>174</v>
      </c>
      <c r="Q40" t="s">
        <v>175</v>
      </c>
      <c r="R40" t="s">
        <v>176</v>
      </c>
      <c r="S40" t="s">
        <v>182</v>
      </c>
      <c r="T40" t="s">
        <v>183</v>
      </c>
      <c r="U40" t="s">
        <v>177</v>
      </c>
      <c r="V40">
        <f>+ROW(pictures.concat[[#This Row],[Hero]])</f>
        <v>40</v>
      </c>
      <c r="W40" t="s">
        <v>185</v>
      </c>
      <c r="X40" t="str">
        <f t="shared" si="0"/>
        <v>&lt;definedName name="concat.moltanica.1"&gt;INDIRECT('pictures'!$B$40)&lt;/definedName&gt;</v>
      </c>
      <c r="Y40" s="124" t="str">
        <f t="shared" si="1"/>
        <v>&lt;definedName name="concat.moltanica.2"&gt;INDIRECT('pictures'!$C$40)&lt;/definedName&gt;</v>
      </c>
      <c r="Z40" s="124" t="str">
        <f t="shared" si="2"/>
        <v>&lt;definedName name="concat.moltanica.3"&gt;INDIRECT('pictures'!$D$40)&lt;/definedName&gt;</v>
      </c>
      <c r="AA40" s="124" t="str">
        <f t="shared" si="3"/>
        <v>&lt;definedName name="concat.moltanica.4"&gt;INDIRECT('pictures'!$E$40)&lt;/definedName&gt;</v>
      </c>
      <c r="AB40" s="124" t="str">
        <f t="shared" si="4"/>
        <v>&lt;definedName name="concat.moltanica.5"&gt;INDIRECT('pictures'!$F$40)&lt;/definedName&gt;</v>
      </c>
      <c r="AC40" s="123"/>
      <c r="AD40" s="123"/>
      <c r="AE40" s="123"/>
      <c r="AF40" s="123"/>
      <c r="AG40" s="123"/>
    </row>
    <row r="41" spans="1:33" x14ac:dyDescent="0.25">
      <c r="A41" t="s">
        <v>71</v>
      </c>
      <c r="B4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hero.ninja.stage1</v>
      </c>
      <c r="C41" t="str">
        <f>+"skill."&amp;SUBSTITUTE(SUBSTITUTE(LOWER(pictures.concat[[#This Row],[Hero]])," ",""),"-","")</f>
        <v>skill.ninja</v>
      </c>
      <c r="D41" t="str">
        <f>+"talent1."&amp;_xlfn.IFNA(SUBSTITUTE(SUBSTITUTE(LOWER(INDEX(heroes[Talent],MATCH(pictures.concat[[#This Row],[Hero]],heroes[Hero],0)))," ",""),"'",""),"empty")</f>
        <v>talent1.selfdestruct</v>
      </c>
      <c r="E41" t="str">
        <f>+"talent2."&amp;_xlfn.IFNA(SUBSTITUTE(LOWER(INDEX(pictures.talent2[Hero],MATCH(pictures.concat[[#This Row],[Hero]],pictures.talent2[Hero],0)))," ",""),"empty")</f>
        <v>talent2.empty</v>
      </c>
      <c r="F41" t="str">
        <f>+"crest."&amp;_xlfn.IFNA(IF(INDEX(heroes[Crest Set],MATCH(pictures.concat[[#This Row],[Hero]],heroes[Hero],0))="","empty",SUBSTITUTE(LOWER(INDEX(heroes[Crest Set],MATCH(pictures.concat[[#This Row],[Hero]],heroes[Hero],0)))," ","")),"empty")</f>
        <v>crest.bladeshell</v>
      </c>
      <c r="H41" t="s">
        <v>167</v>
      </c>
      <c r="I41" t="str">
        <f>+"concat."&amp;SUBSTITUTE(SUBSTITUTE(LOWER(pictures.concat[[#This Row],[Hero]])," ",""),"-","")&amp;"."</f>
        <v>concat.ninja.</v>
      </c>
      <c r="J41">
        <v>1</v>
      </c>
      <c r="K41">
        <v>2</v>
      </c>
      <c r="L41">
        <v>3</v>
      </c>
      <c r="M41">
        <v>4</v>
      </c>
      <c r="N41">
        <v>5</v>
      </c>
      <c r="O41" t="s">
        <v>184</v>
      </c>
      <c r="P41" t="s">
        <v>174</v>
      </c>
      <c r="Q41" t="s">
        <v>175</v>
      </c>
      <c r="R41" t="s">
        <v>176</v>
      </c>
      <c r="S41" t="s">
        <v>182</v>
      </c>
      <c r="T41" t="s">
        <v>183</v>
      </c>
      <c r="U41" t="s">
        <v>177</v>
      </c>
      <c r="V41">
        <f>+ROW(pictures.concat[[#This Row],[Hero]])</f>
        <v>41</v>
      </c>
      <c r="W41" t="s">
        <v>185</v>
      </c>
      <c r="X41" t="str">
        <f t="shared" si="0"/>
        <v>&lt;definedName name="concat.ninja.1"&gt;INDIRECT('pictures'!$B$41)&lt;/definedName&gt;</v>
      </c>
      <c r="Y41" s="124" t="str">
        <f t="shared" si="1"/>
        <v>&lt;definedName name="concat.ninja.2"&gt;INDIRECT('pictures'!$C$41)&lt;/definedName&gt;</v>
      </c>
      <c r="Z41" s="124" t="str">
        <f t="shared" si="2"/>
        <v>&lt;definedName name="concat.ninja.3"&gt;INDIRECT('pictures'!$D$41)&lt;/definedName&gt;</v>
      </c>
      <c r="AA41" s="124" t="str">
        <f t="shared" si="3"/>
        <v>&lt;definedName name="concat.ninja.4"&gt;INDIRECT('pictures'!$E$41)&lt;/definedName&gt;</v>
      </c>
      <c r="AB41" s="124" t="str">
        <f t="shared" si="4"/>
        <v>&lt;definedName name="concat.ninja.5"&gt;INDIRECT('pictures'!$F$41)&lt;/definedName&gt;</v>
      </c>
      <c r="AC41" s="123"/>
      <c r="AD41" s="123"/>
      <c r="AE41" s="123"/>
      <c r="AF41" s="123"/>
      <c r="AG41" s="123"/>
    </row>
    <row r="42" spans="1:33" x14ac:dyDescent="0.25">
      <c r="A42" t="s">
        <v>72</v>
      </c>
      <c r="B4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hero.orksbane.stage1</v>
      </c>
      <c r="C42" t="str">
        <f>+"skill."&amp;SUBSTITUTE(SUBSTITUTE(LOWER(pictures.concat[[#This Row],[Hero]])," ",""),"-","")</f>
        <v>skill.orksbane</v>
      </c>
      <c r="D42" t="str">
        <f>+"talent1."&amp;_xlfn.IFNA(SUBSTITUTE(SUBSTITUTE(LOWER(INDEX(heroes[Talent],MATCH(pictures.concat[[#This Row],[Hero]],heroes[Hero],0)))," ",""),"'",""),"empty")</f>
        <v>talent1.tenacity</v>
      </c>
      <c r="E42" t="str">
        <f>+"talent2."&amp;_xlfn.IFNA(SUBSTITUTE(LOWER(INDEX(pictures.talent2[Hero],MATCH(pictures.concat[[#This Row],[Hero]],pictures.talent2[Hero],0)))," ",""),"empty")</f>
        <v>talent2.empty</v>
      </c>
      <c r="F42" t="str">
        <f>+"crest."&amp;_xlfn.IFNA(IF(INDEX(heroes[Crest Set],MATCH(pictures.concat[[#This Row],[Hero]],heroes[Hero],0))="","empty",SUBSTITUTE(LOWER(INDEX(heroes[Crest Set],MATCH(pictures.concat[[#This Row],[Hero]],heroes[Hero],0)))," ","")),"empty")</f>
        <v>crest.empty</v>
      </c>
      <c r="H42" t="s">
        <v>167</v>
      </c>
      <c r="I42" t="str">
        <f>+"concat."&amp;SUBSTITUTE(SUBSTITUTE(LOWER(pictures.concat[[#This Row],[Hero]])," ",""),"-","")&amp;"."</f>
        <v>concat.orksbane.</v>
      </c>
      <c r="J42">
        <v>1</v>
      </c>
      <c r="K42">
        <v>2</v>
      </c>
      <c r="L42">
        <v>3</v>
      </c>
      <c r="M42">
        <v>4</v>
      </c>
      <c r="N42">
        <v>5</v>
      </c>
      <c r="O42" t="s">
        <v>184</v>
      </c>
      <c r="P42" t="s">
        <v>174</v>
      </c>
      <c r="Q42" t="s">
        <v>175</v>
      </c>
      <c r="R42" t="s">
        <v>176</v>
      </c>
      <c r="S42" t="s">
        <v>182</v>
      </c>
      <c r="T42" t="s">
        <v>183</v>
      </c>
      <c r="U42" t="s">
        <v>177</v>
      </c>
      <c r="V42">
        <f>+ROW(pictures.concat[[#This Row],[Hero]])</f>
        <v>42</v>
      </c>
      <c r="W42" t="s">
        <v>185</v>
      </c>
      <c r="X42" t="str">
        <f t="shared" si="0"/>
        <v>&lt;definedName name="concat.orksbane.1"&gt;INDIRECT('pictures'!$B$42)&lt;/definedName&gt;</v>
      </c>
      <c r="Y42" s="124" t="str">
        <f t="shared" si="1"/>
        <v>&lt;definedName name="concat.orksbane.2"&gt;INDIRECT('pictures'!$C$42)&lt;/definedName&gt;</v>
      </c>
      <c r="Z42" s="124" t="str">
        <f t="shared" si="2"/>
        <v>&lt;definedName name="concat.orksbane.3"&gt;INDIRECT('pictures'!$D$42)&lt;/definedName&gt;</v>
      </c>
      <c r="AA42" s="124" t="str">
        <f t="shared" si="3"/>
        <v>&lt;definedName name="concat.orksbane.4"&gt;INDIRECT('pictures'!$E$42)&lt;/definedName&gt;</v>
      </c>
      <c r="AB42" s="124" t="str">
        <f t="shared" si="4"/>
        <v>&lt;definedName name="concat.orksbane.5"&gt;INDIRECT('pictures'!$F$42)&lt;/definedName&gt;</v>
      </c>
      <c r="AC42" s="123"/>
      <c r="AD42" s="123"/>
      <c r="AE42" s="123"/>
      <c r="AF42" s="123"/>
      <c r="AG42" s="123"/>
    </row>
    <row r="43" spans="1:33" x14ac:dyDescent="0.25">
      <c r="A43" t="s">
        <v>73</v>
      </c>
      <c r="B4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hero.painda.stage1</v>
      </c>
      <c r="C43" t="str">
        <f>+"skill."&amp;SUBSTITUTE(SUBSTITUTE(LOWER(pictures.concat[[#This Row],[Hero]])," ",""),"-","")</f>
        <v>skill.painda</v>
      </c>
      <c r="D43" t="str">
        <f>+"talent1."&amp;_xlfn.IFNA(SUBSTITUTE(SUBSTITUTE(LOWER(INDEX(heroes[Talent],MATCH(pictures.concat[[#This Row],[Hero]],heroes[Hero],0)))," ",""),"'",""),"empty")</f>
        <v>talent1.slowdown</v>
      </c>
      <c r="E43" t="str">
        <f>+"talent2."&amp;_xlfn.IFNA(SUBSTITUTE(LOWER(INDEX(pictures.talent2[Hero],MATCH(pictures.concat[[#This Row],[Hero]],pictures.talent2[Hero],0)))," ",""),"empty")</f>
        <v>talent2.empty</v>
      </c>
      <c r="F43" t="str">
        <f>+"crest."&amp;_xlfn.IFNA(IF(INDEX(heroes[Crest Set],MATCH(pictures.concat[[#This Row],[Hero]],heroes[Hero],0))="","empty",SUBSTITUTE(LOWER(INDEX(heroes[Crest Set],MATCH(pictures.concat[[#This Row],[Hero]],heroes[Hero],0)))," ","")),"empty")</f>
        <v>crest.empty</v>
      </c>
      <c r="H43" t="s">
        <v>167</v>
      </c>
      <c r="I43" t="str">
        <f>+"concat."&amp;SUBSTITUTE(SUBSTITUTE(LOWER(pictures.concat[[#This Row],[Hero]])," ",""),"-","")&amp;"."</f>
        <v>concat.painda.</v>
      </c>
      <c r="J43">
        <v>1</v>
      </c>
      <c r="K43">
        <v>2</v>
      </c>
      <c r="L43">
        <v>3</v>
      </c>
      <c r="M43">
        <v>4</v>
      </c>
      <c r="N43">
        <v>5</v>
      </c>
      <c r="O43" t="s">
        <v>184</v>
      </c>
      <c r="P43" t="s">
        <v>174</v>
      </c>
      <c r="Q43" t="s">
        <v>175</v>
      </c>
      <c r="R43" t="s">
        <v>176</v>
      </c>
      <c r="S43" t="s">
        <v>182</v>
      </c>
      <c r="T43" t="s">
        <v>183</v>
      </c>
      <c r="U43" t="s">
        <v>177</v>
      </c>
      <c r="V43">
        <f>+ROW(pictures.concat[[#This Row],[Hero]])</f>
        <v>43</v>
      </c>
      <c r="W43" t="s">
        <v>185</v>
      </c>
      <c r="X43" t="str">
        <f t="shared" si="0"/>
        <v>&lt;definedName name="concat.painda.1"&gt;INDIRECT('pictures'!$B$43)&lt;/definedName&gt;</v>
      </c>
      <c r="Y43" s="124" t="str">
        <f t="shared" si="1"/>
        <v>&lt;definedName name="concat.painda.2"&gt;INDIRECT('pictures'!$C$43)&lt;/definedName&gt;</v>
      </c>
      <c r="Z43" s="124" t="str">
        <f t="shared" si="2"/>
        <v>&lt;definedName name="concat.painda.3"&gt;INDIRECT('pictures'!$D$43)&lt;/definedName&gt;</v>
      </c>
      <c r="AA43" s="124" t="str">
        <f t="shared" si="3"/>
        <v>&lt;definedName name="concat.painda.4"&gt;INDIRECT('pictures'!$E$43)&lt;/definedName&gt;</v>
      </c>
      <c r="AB43" s="124" t="str">
        <f t="shared" si="4"/>
        <v>&lt;definedName name="concat.painda.5"&gt;INDIRECT('pictures'!$F$43)&lt;/definedName&gt;</v>
      </c>
      <c r="AC43" s="123"/>
      <c r="AD43" s="123"/>
      <c r="AE43" s="123"/>
      <c r="AF43" s="123"/>
      <c r="AG43" s="123"/>
    </row>
    <row r="44" spans="1:33" x14ac:dyDescent="0.25">
      <c r="A44" t="s">
        <v>74</v>
      </c>
      <c r="B4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hero.paladin.stage1</v>
      </c>
      <c r="C44" t="str">
        <f>+"skill."&amp;SUBSTITUTE(SUBSTITUTE(LOWER(pictures.concat[[#This Row],[Hero]])," ",""),"-","")</f>
        <v>skill.paladin</v>
      </c>
      <c r="D44" t="str">
        <f>+"talent1."&amp;_xlfn.IFNA(SUBSTITUTE(SUBSTITUTE(LOWER(INDEX(heroes[Talent],MATCH(pictures.concat[[#This Row],[Hero]],heroes[Hero],0)))," ",""),"'",""),"empty")</f>
        <v>talent1.heavenswrath</v>
      </c>
      <c r="E44" t="str">
        <f>+"talent2."&amp;_xlfn.IFNA(SUBSTITUTE(LOWER(INDEX(pictures.talent2[Hero],MATCH(pictures.concat[[#This Row],[Hero]],pictures.talent2[Hero],0)))," ",""),"empty")</f>
        <v>talent2.empty</v>
      </c>
      <c r="F44" t="str">
        <f>+"crest."&amp;_xlfn.IFNA(IF(INDEX(heroes[Crest Set],MATCH(pictures.concat[[#This Row],[Hero]],heroes[Hero],0))="","empty",SUBSTITUTE(LOWER(INDEX(heroes[Crest Set],MATCH(pictures.concat[[#This Row],[Hero]],heroes[Hero],0)))," ","")),"empty")</f>
        <v>crest.tenacity</v>
      </c>
      <c r="H44" t="s">
        <v>167</v>
      </c>
      <c r="I44" t="str">
        <f>+"concat."&amp;SUBSTITUTE(SUBSTITUTE(LOWER(pictures.concat[[#This Row],[Hero]])," ",""),"-","")&amp;"."</f>
        <v>concat.paladin.</v>
      </c>
      <c r="J44">
        <v>1</v>
      </c>
      <c r="K44">
        <v>2</v>
      </c>
      <c r="L44">
        <v>3</v>
      </c>
      <c r="M44">
        <v>4</v>
      </c>
      <c r="N44">
        <v>5</v>
      </c>
      <c r="O44" t="s">
        <v>184</v>
      </c>
      <c r="P44" t="s">
        <v>174</v>
      </c>
      <c r="Q44" t="s">
        <v>175</v>
      </c>
      <c r="R44" t="s">
        <v>176</v>
      </c>
      <c r="S44" t="s">
        <v>182</v>
      </c>
      <c r="T44" t="s">
        <v>183</v>
      </c>
      <c r="U44" t="s">
        <v>177</v>
      </c>
      <c r="V44">
        <f>+ROW(pictures.concat[[#This Row],[Hero]])</f>
        <v>44</v>
      </c>
      <c r="W44" t="s">
        <v>185</v>
      </c>
      <c r="X44" t="str">
        <f t="shared" si="0"/>
        <v>&lt;definedName name="concat.paladin.1"&gt;INDIRECT('pictures'!$B$44)&lt;/definedName&gt;</v>
      </c>
      <c r="Y44" s="124" t="str">
        <f t="shared" si="1"/>
        <v>&lt;definedName name="concat.paladin.2"&gt;INDIRECT('pictures'!$C$44)&lt;/definedName&gt;</v>
      </c>
      <c r="Z44" s="124" t="str">
        <f t="shared" si="2"/>
        <v>&lt;definedName name="concat.paladin.3"&gt;INDIRECT('pictures'!$D$44)&lt;/definedName&gt;</v>
      </c>
      <c r="AA44" s="124" t="str">
        <f t="shared" si="3"/>
        <v>&lt;definedName name="concat.paladin.4"&gt;INDIRECT('pictures'!$E$44)&lt;/definedName&gt;</v>
      </c>
      <c r="AB44" s="124" t="str">
        <f t="shared" si="4"/>
        <v>&lt;definedName name="concat.paladin.5"&gt;INDIRECT('pictures'!$F$44)&lt;/definedName&gt;</v>
      </c>
      <c r="AC44" s="123"/>
      <c r="AD44" s="123"/>
      <c r="AE44" s="123"/>
      <c r="AF44" s="123"/>
      <c r="AG44" s="123"/>
    </row>
    <row r="45" spans="1:33" x14ac:dyDescent="0.25">
      <c r="A45" t="s">
        <v>75</v>
      </c>
      <c r="B45"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hero.phantomking.stage2</v>
      </c>
      <c r="C45" t="str">
        <f>+"skill."&amp;SUBSTITUTE(SUBSTITUTE(LOWER(pictures.concat[[#This Row],[Hero]])," ",""),"-","")</f>
        <v>skill.phantomking</v>
      </c>
      <c r="D45" t="str">
        <f>+"talent1."&amp;_xlfn.IFNA(SUBSTITUTE(SUBSTITUTE(LOWER(INDEX(heroes[Talent],MATCH(pictures.concat[[#This Row],[Hero]],heroes[Hero],0)))," ",""),"'",""),"empty")</f>
        <v>talent1.scatter</v>
      </c>
      <c r="E45" t="str">
        <f>+"talent2."&amp;_xlfn.IFNA(SUBSTITUTE(LOWER(INDEX(pictures.talent2[Hero],MATCH(pictures.concat[[#This Row],[Hero]],pictures.talent2[Hero],0)))," ",""),"empty")</f>
        <v>talent2.phantomking</v>
      </c>
      <c r="F45" t="str">
        <f>+"crest."&amp;_xlfn.IFNA(IF(INDEX(heroes[Crest Set],MATCH(pictures.concat[[#This Row],[Hero]],heroes[Hero],0))="","empty",SUBSTITUTE(LOWER(INDEX(heroes[Crest Set],MATCH(pictures.concat[[#This Row],[Hero]],heroes[Hero],0)))," ","")),"empty")</f>
        <v>crest.revive</v>
      </c>
      <c r="H45" t="s">
        <v>167</v>
      </c>
      <c r="I45" t="str">
        <f>+"concat."&amp;SUBSTITUTE(SUBSTITUTE(LOWER(pictures.concat[[#This Row],[Hero]])," ",""),"-","")&amp;"."</f>
        <v>concat.phantomking.</v>
      </c>
      <c r="J45">
        <v>1</v>
      </c>
      <c r="K45">
        <v>2</v>
      </c>
      <c r="L45">
        <v>3</v>
      </c>
      <c r="M45">
        <v>4</v>
      </c>
      <c r="N45">
        <v>5</v>
      </c>
      <c r="O45" t="s">
        <v>184</v>
      </c>
      <c r="P45" t="s">
        <v>174</v>
      </c>
      <c r="Q45" t="s">
        <v>175</v>
      </c>
      <c r="R45" t="s">
        <v>176</v>
      </c>
      <c r="S45" t="s">
        <v>182</v>
      </c>
      <c r="T45" t="s">
        <v>183</v>
      </c>
      <c r="U45" t="s">
        <v>177</v>
      </c>
      <c r="V45">
        <f>+ROW(pictures.concat[[#This Row],[Hero]])</f>
        <v>45</v>
      </c>
      <c r="W45" t="s">
        <v>185</v>
      </c>
      <c r="X45" t="str">
        <f t="shared" si="0"/>
        <v>&lt;definedName name="concat.phantomking.1"&gt;INDIRECT('pictures'!$B$45)&lt;/definedName&gt;</v>
      </c>
      <c r="Y45" s="124" t="str">
        <f t="shared" si="1"/>
        <v>&lt;definedName name="concat.phantomking.2"&gt;INDIRECT('pictures'!$C$45)&lt;/definedName&gt;</v>
      </c>
      <c r="Z45" s="124" t="str">
        <f t="shared" si="2"/>
        <v>&lt;definedName name="concat.phantomking.3"&gt;INDIRECT('pictures'!$D$45)&lt;/definedName&gt;</v>
      </c>
      <c r="AA45" s="124" t="str">
        <f t="shared" si="3"/>
        <v>&lt;definedName name="concat.phantomking.4"&gt;INDIRECT('pictures'!$E$45)&lt;/definedName&gt;</v>
      </c>
      <c r="AB45" s="124" t="str">
        <f t="shared" si="4"/>
        <v>&lt;definedName name="concat.phantomking.5"&gt;INDIRECT('pictures'!$F$45)&lt;/definedName&gt;</v>
      </c>
      <c r="AC45" s="123"/>
      <c r="AD45" s="123"/>
      <c r="AE45" s="123"/>
      <c r="AF45" s="123"/>
      <c r="AG45" s="123"/>
    </row>
    <row r="46" spans="1:33" x14ac:dyDescent="0.25">
      <c r="A46" t="s">
        <v>76</v>
      </c>
      <c r="B4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hero.pixie.stage2</v>
      </c>
      <c r="C46" t="str">
        <f>+"skill."&amp;SUBSTITUTE(SUBSTITUTE(LOWER(pictures.concat[[#This Row],[Hero]])," ",""),"-","")</f>
        <v>skill.pixie</v>
      </c>
      <c r="D46" t="str">
        <f>+"talent1."&amp;_xlfn.IFNA(SUBSTITUTE(SUBSTITUTE(LOWER(INDEX(heroes[Talent],MATCH(pictures.concat[[#This Row],[Hero]],heroes[Hero],0)))," ",""),"'",""),"empty")</f>
        <v>talent1.slowdown</v>
      </c>
      <c r="E46" t="str">
        <f>+"talent2."&amp;_xlfn.IFNA(SUBSTITUTE(LOWER(INDEX(pictures.talent2[Hero],MATCH(pictures.concat[[#This Row],[Hero]],pictures.talent2[Hero],0)))," ",""),"empty")</f>
        <v>talent2.pixie</v>
      </c>
      <c r="F46" t="str">
        <f>+"crest."&amp;_xlfn.IFNA(IF(INDEX(heroes[Crest Set],MATCH(pictures.concat[[#This Row],[Hero]],heroes[Hero],0))="","empty",SUBSTITUTE(LOWER(INDEX(heroes[Crest Set],MATCH(pictures.concat[[#This Row],[Hero]],heroes[Hero],0)))," ","")),"empty")</f>
        <v>crest.empty</v>
      </c>
      <c r="H46" t="s">
        <v>167</v>
      </c>
      <c r="I46" t="str">
        <f>+"concat."&amp;SUBSTITUTE(SUBSTITUTE(LOWER(pictures.concat[[#This Row],[Hero]])," ",""),"-","")&amp;"."</f>
        <v>concat.pixie.</v>
      </c>
      <c r="J46">
        <v>1</v>
      </c>
      <c r="K46">
        <v>2</v>
      </c>
      <c r="L46">
        <v>3</v>
      </c>
      <c r="M46">
        <v>4</v>
      </c>
      <c r="N46">
        <v>5</v>
      </c>
      <c r="O46" t="s">
        <v>184</v>
      </c>
      <c r="P46" t="s">
        <v>174</v>
      </c>
      <c r="Q46" t="s">
        <v>175</v>
      </c>
      <c r="R46" t="s">
        <v>176</v>
      </c>
      <c r="S46" t="s">
        <v>182</v>
      </c>
      <c r="T46" t="s">
        <v>183</v>
      </c>
      <c r="U46" t="s">
        <v>177</v>
      </c>
      <c r="V46">
        <f>+ROW(pictures.concat[[#This Row],[Hero]])</f>
        <v>46</v>
      </c>
      <c r="W46" t="s">
        <v>185</v>
      </c>
      <c r="X46" t="str">
        <f t="shared" si="0"/>
        <v>&lt;definedName name="concat.pixie.1"&gt;INDIRECT('pictures'!$B$46)&lt;/definedName&gt;</v>
      </c>
      <c r="Y46" s="124" t="str">
        <f t="shared" si="1"/>
        <v>&lt;definedName name="concat.pixie.2"&gt;INDIRECT('pictures'!$C$46)&lt;/definedName&gt;</v>
      </c>
      <c r="Z46" s="124" t="str">
        <f t="shared" si="2"/>
        <v>&lt;definedName name="concat.pixie.3"&gt;INDIRECT('pictures'!$D$46)&lt;/definedName&gt;</v>
      </c>
      <c r="AA46" s="124" t="str">
        <f t="shared" si="3"/>
        <v>&lt;definedName name="concat.pixie.4"&gt;INDIRECT('pictures'!$E$46)&lt;/definedName&gt;</v>
      </c>
      <c r="AB46" s="124" t="str">
        <f t="shared" si="4"/>
        <v>&lt;definedName name="concat.pixie.5"&gt;INDIRECT('pictures'!$F$46)&lt;/definedName&gt;</v>
      </c>
      <c r="AC46" s="123"/>
      <c r="AD46" s="123"/>
      <c r="AE46" s="123"/>
      <c r="AF46" s="123"/>
      <c r="AG46" s="123"/>
    </row>
    <row r="47" spans="1:33" x14ac:dyDescent="0.25">
      <c r="A47" t="s">
        <v>77</v>
      </c>
      <c r="B4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hero.pumpkinduke.stage2</v>
      </c>
      <c r="C47" t="str">
        <f>+"skill."&amp;SUBSTITUTE(SUBSTITUTE(LOWER(pictures.concat[[#This Row],[Hero]])," ",""),"-","")</f>
        <v>skill.pumpkinduke</v>
      </c>
      <c r="D47" t="str">
        <f>+"talent1."&amp;_xlfn.IFNA(SUBSTITUTE(SUBSTITUTE(LOWER(INDEX(heroes[Talent],MATCH(pictures.concat[[#This Row],[Hero]],heroes[Hero],0)))," ",""),"'",""),"empty")</f>
        <v>talent1.revitalize</v>
      </c>
      <c r="E47" t="str">
        <f>+"talent2."&amp;_xlfn.IFNA(SUBSTITUTE(LOWER(INDEX(pictures.talent2[Hero],MATCH(pictures.concat[[#This Row],[Hero]],pictures.talent2[Hero],0)))," ",""),"empty")</f>
        <v>talent2.empty</v>
      </c>
      <c r="F47" t="str">
        <f>+"crest."&amp;_xlfn.IFNA(IF(INDEX(heroes[Crest Set],MATCH(pictures.concat[[#This Row],[Hero]],heroes[Hero],0))="","empty",SUBSTITUTE(LOWER(INDEX(heroes[Crest Set],MATCH(pictures.concat[[#This Row],[Hero]],heroes[Hero],0)))," ","")),"empty")</f>
        <v>crest.berserk</v>
      </c>
      <c r="H47" t="s">
        <v>167</v>
      </c>
      <c r="I47" t="str">
        <f>+"concat."&amp;SUBSTITUTE(SUBSTITUTE(LOWER(pictures.concat[[#This Row],[Hero]])," ",""),"-","")&amp;"."</f>
        <v>concat.pumpkinduke.</v>
      </c>
      <c r="J47">
        <v>1</v>
      </c>
      <c r="K47">
        <v>2</v>
      </c>
      <c r="L47">
        <v>3</v>
      </c>
      <c r="M47">
        <v>4</v>
      </c>
      <c r="N47">
        <v>5</v>
      </c>
      <c r="O47" t="s">
        <v>184</v>
      </c>
      <c r="P47" t="s">
        <v>174</v>
      </c>
      <c r="Q47" t="s">
        <v>175</v>
      </c>
      <c r="R47" t="s">
        <v>176</v>
      </c>
      <c r="S47" t="s">
        <v>182</v>
      </c>
      <c r="T47" t="s">
        <v>183</v>
      </c>
      <c r="U47" t="s">
        <v>177</v>
      </c>
      <c r="V47">
        <f>+ROW(pictures.concat[[#This Row],[Hero]])</f>
        <v>47</v>
      </c>
      <c r="W47" t="s">
        <v>185</v>
      </c>
      <c r="X47" t="str">
        <f t="shared" si="0"/>
        <v>&lt;definedName name="concat.pumpkinduke.1"&gt;INDIRECT('pictures'!$B$47)&lt;/definedName&gt;</v>
      </c>
      <c r="Y47" s="124" t="str">
        <f t="shared" si="1"/>
        <v>&lt;definedName name="concat.pumpkinduke.2"&gt;INDIRECT('pictures'!$C$47)&lt;/definedName&gt;</v>
      </c>
      <c r="Z47" s="124" t="str">
        <f t="shared" si="2"/>
        <v>&lt;definedName name="concat.pumpkinduke.3"&gt;INDIRECT('pictures'!$D$47)&lt;/definedName&gt;</v>
      </c>
      <c r="AA47" s="124" t="str">
        <f t="shared" si="3"/>
        <v>&lt;definedName name="concat.pumpkinduke.4"&gt;INDIRECT('pictures'!$E$47)&lt;/definedName&gt;</v>
      </c>
      <c r="AB47" s="124" t="str">
        <f t="shared" si="4"/>
        <v>&lt;definedName name="concat.pumpkinduke.5"&gt;INDIRECT('pictures'!$F$47)&lt;/definedName&gt;</v>
      </c>
      <c r="AC47" s="123"/>
      <c r="AD47" s="123"/>
      <c r="AE47" s="123"/>
      <c r="AF47" s="123"/>
      <c r="AG47" s="123"/>
    </row>
    <row r="48" spans="1:33" x14ac:dyDescent="0.25">
      <c r="A48" t="s">
        <v>78</v>
      </c>
      <c r="B4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hero.revenant.stage1</v>
      </c>
      <c r="C48" t="str">
        <f>+"skill."&amp;SUBSTITUTE(SUBSTITUTE(LOWER(pictures.concat[[#This Row],[Hero]])," ",""),"-","")</f>
        <v>skill.revenant</v>
      </c>
      <c r="D48" t="str">
        <f>+"talent1."&amp;_xlfn.IFNA(SUBSTITUTE(SUBSTITUTE(LOWER(INDEX(heroes[Talent],MATCH(pictures.concat[[#This Row],[Hero]],heroes[Hero],0)))," ",""),"'",""),"empty")</f>
        <v>talent1.corrode</v>
      </c>
      <c r="E48" t="str">
        <f>+"talent2."&amp;_xlfn.IFNA(SUBSTITUTE(LOWER(INDEX(pictures.talent2[Hero],MATCH(pictures.concat[[#This Row],[Hero]],pictures.talent2[Hero],0)))," ",""),"empty")</f>
        <v>talent2.empty</v>
      </c>
      <c r="F48" t="str">
        <f>+"crest."&amp;_xlfn.IFNA(IF(INDEX(heroes[Crest Set],MATCH(pictures.concat[[#This Row],[Hero]],heroes[Hero],0))="","empty",SUBSTITUTE(LOWER(INDEX(heroes[Crest Set],MATCH(pictures.concat[[#This Row],[Hero]],heroes[Hero],0)))," ","")),"empty")</f>
        <v>crest.empty</v>
      </c>
      <c r="H48" t="s">
        <v>167</v>
      </c>
      <c r="I48" t="str">
        <f>+"concat."&amp;SUBSTITUTE(SUBSTITUTE(LOWER(pictures.concat[[#This Row],[Hero]])," ",""),"-","")&amp;"."</f>
        <v>concat.revenant.</v>
      </c>
      <c r="J48">
        <v>1</v>
      </c>
      <c r="K48">
        <v>2</v>
      </c>
      <c r="L48">
        <v>3</v>
      </c>
      <c r="M48">
        <v>4</v>
      </c>
      <c r="N48">
        <v>5</v>
      </c>
      <c r="O48" t="s">
        <v>184</v>
      </c>
      <c r="P48" t="s">
        <v>174</v>
      </c>
      <c r="Q48" t="s">
        <v>175</v>
      </c>
      <c r="R48" t="s">
        <v>176</v>
      </c>
      <c r="S48" t="s">
        <v>182</v>
      </c>
      <c r="T48" t="s">
        <v>183</v>
      </c>
      <c r="U48" t="s">
        <v>177</v>
      </c>
      <c r="V48">
        <f>+ROW(pictures.concat[[#This Row],[Hero]])</f>
        <v>48</v>
      </c>
      <c r="W48" t="s">
        <v>185</v>
      </c>
      <c r="X48" t="str">
        <f t="shared" si="0"/>
        <v>&lt;definedName name="concat.revenant.1"&gt;INDIRECT('pictures'!$B$48)&lt;/definedName&gt;</v>
      </c>
      <c r="Y48" s="124" t="str">
        <f t="shared" si="1"/>
        <v>&lt;definedName name="concat.revenant.2"&gt;INDIRECT('pictures'!$C$48)&lt;/definedName&gt;</v>
      </c>
      <c r="Z48" s="124" t="str">
        <f t="shared" si="2"/>
        <v>&lt;definedName name="concat.revenant.3"&gt;INDIRECT('pictures'!$D$48)&lt;/definedName&gt;</v>
      </c>
      <c r="AA48" s="124" t="str">
        <f t="shared" si="3"/>
        <v>&lt;definedName name="concat.revenant.4"&gt;INDIRECT('pictures'!$E$48)&lt;/definedName&gt;</v>
      </c>
      <c r="AB48" s="124" t="str">
        <f t="shared" si="4"/>
        <v>&lt;definedName name="concat.revenant.5"&gt;INDIRECT('pictures'!$F$48)&lt;/definedName&gt;</v>
      </c>
      <c r="AC48" s="123"/>
      <c r="AD48" s="123"/>
      <c r="AE48" s="123"/>
      <c r="AF48" s="123"/>
      <c r="AG48" s="123"/>
    </row>
    <row r="49" spans="1:33" x14ac:dyDescent="0.25">
      <c r="A49" t="s">
        <v>79</v>
      </c>
      <c r="B4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hero.santaboom.stage2</v>
      </c>
      <c r="C49" t="str">
        <f>+"skill."&amp;SUBSTITUTE(SUBSTITUTE(LOWER(pictures.concat[[#This Row],[Hero]])," ",""),"-","")</f>
        <v>skill.santaboom</v>
      </c>
      <c r="D49" t="str">
        <f>+"talent1."&amp;_xlfn.IFNA(SUBSTITUTE(SUBSTITUTE(LOWER(INDEX(heroes[Talent],MATCH(pictures.concat[[#This Row],[Hero]],heroes[Hero],0)))," ",""),"'",""),"empty")</f>
        <v>talent1.enlighten</v>
      </c>
      <c r="E49" t="str">
        <f>+"talent2."&amp;_xlfn.IFNA(SUBSTITUTE(LOWER(INDEX(pictures.talent2[Hero],MATCH(pictures.concat[[#This Row],[Hero]],pictures.talent2[Hero],0)))," ",""),"empty")</f>
        <v>talent2.santaboom</v>
      </c>
      <c r="F49" t="str">
        <f>+"crest."&amp;_xlfn.IFNA(IF(INDEX(heroes[Crest Set],MATCH(pictures.concat[[#This Row],[Hero]],heroes[Hero],0))="","empty",SUBSTITUTE(LOWER(INDEX(heroes[Crest Set],MATCH(pictures.concat[[#This Row],[Hero]],heroes[Hero],0)))," ","")),"empty")</f>
        <v>crest.revitalize</v>
      </c>
      <c r="H49" t="s">
        <v>167</v>
      </c>
      <c r="I49" t="str">
        <f>+"concat."&amp;SUBSTITUTE(SUBSTITUTE(LOWER(pictures.concat[[#This Row],[Hero]])," ",""),"-","")&amp;"."</f>
        <v>concat.santaboom.</v>
      </c>
      <c r="J49">
        <v>1</v>
      </c>
      <c r="K49">
        <v>2</v>
      </c>
      <c r="L49">
        <v>3</v>
      </c>
      <c r="M49">
        <v>4</v>
      </c>
      <c r="N49">
        <v>5</v>
      </c>
      <c r="O49" t="s">
        <v>184</v>
      </c>
      <c r="P49" t="s">
        <v>174</v>
      </c>
      <c r="Q49" t="s">
        <v>175</v>
      </c>
      <c r="R49" t="s">
        <v>176</v>
      </c>
      <c r="S49" t="s">
        <v>182</v>
      </c>
      <c r="T49" t="s">
        <v>183</v>
      </c>
      <c r="U49" t="s">
        <v>177</v>
      </c>
      <c r="V49">
        <f>+ROW(pictures.concat[[#This Row],[Hero]])</f>
        <v>49</v>
      </c>
      <c r="W49" t="s">
        <v>185</v>
      </c>
      <c r="X49" t="str">
        <f t="shared" si="0"/>
        <v>&lt;definedName name="concat.santaboom.1"&gt;INDIRECT('pictures'!$B$49)&lt;/definedName&gt;</v>
      </c>
      <c r="Y49" s="124" t="str">
        <f t="shared" si="1"/>
        <v>&lt;definedName name="concat.santaboom.2"&gt;INDIRECT('pictures'!$C$49)&lt;/definedName&gt;</v>
      </c>
      <c r="Z49" s="124" t="str">
        <f t="shared" si="2"/>
        <v>&lt;definedName name="concat.santaboom.3"&gt;INDIRECT('pictures'!$D$49)&lt;/definedName&gt;</v>
      </c>
      <c r="AA49" s="124" t="str">
        <f t="shared" si="3"/>
        <v>&lt;definedName name="concat.santaboom.4"&gt;INDIRECT('pictures'!$E$49)&lt;/definedName&gt;</v>
      </c>
      <c r="AB49" s="124" t="str">
        <f t="shared" si="4"/>
        <v>&lt;definedName name="concat.santaboom.5"&gt;INDIRECT('pictures'!$F$49)&lt;/definedName&gt;</v>
      </c>
      <c r="AC49" s="123"/>
      <c r="AD49" s="123"/>
      <c r="AE49" s="123"/>
      <c r="AF49" s="123"/>
      <c r="AG49" s="123"/>
    </row>
    <row r="50" spans="1:33" x14ac:dyDescent="0.25">
      <c r="A50" t="s">
        <v>80</v>
      </c>
      <c r="B5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hero.serpentqueen.stage1</v>
      </c>
      <c r="C50" t="str">
        <f>+"skill."&amp;SUBSTITUTE(SUBSTITUTE(LOWER(pictures.concat[[#This Row],[Hero]])," ",""),"-","")</f>
        <v>skill.serpentqueen</v>
      </c>
      <c r="D50" t="str">
        <f>+"talent1."&amp;_xlfn.IFNA(SUBSTITUTE(SUBSTITUTE(LOWER(INDEX(heroes[Talent],MATCH(pictures.concat[[#This Row],[Hero]],heroes[Hero],0)))," ",""),"'",""),"empty")</f>
        <v>talent1.corrode</v>
      </c>
      <c r="E50" t="str">
        <f>+"talent2."&amp;_xlfn.IFNA(SUBSTITUTE(LOWER(INDEX(pictures.talent2[Hero],MATCH(pictures.concat[[#This Row],[Hero]],pictures.talent2[Hero],0)))," ",""),"empty")</f>
        <v>talent2.empty</v>
      </c>
      <c r="F50" t="str">
        <f>+"crest."&amp;_xlfn.IFNA(IF(INDEX(heroes[Crest Set],MATCH(pictures.concat[[#This Row],[Hero]],heroes[Hero],0))="","empty",SUBSTITUTE(LOWER(INDEX(heroes[Crest Set],MATCH(pictures.concat[[#This Row],[Hero]],heroes[Hero],0)))," ","")),"empty")</f>
        <v>crest.empty</v>
      </c>
      <c r="H50" t="s">
        <v>167</v>
      </c>
      <c r="I50" t="str">
        <f>+"concat."&amp;SUBSTITUTE(SUBSTITUTE(LOWER(pictures.concat[[#This Row],[Hero]])," ",""),"-","")&amp;"."</f>
        <v>concat.serpentqueen.</v>
      </c>
      <c r="J50">
        <v>1</v>
      </c>
      <c r="K50">
        <v>2</v>
      </c>
      <c r="L50">
        <v>3</v>
      </c>
      <c r="M50">
        <v>4</v>
      </c>
      <c r="N50">
        <v>5</v>
      </c>
      <c r="O50" t="s">
        <v>184</v>
      </c>
      <c r="P50" t="s">
        <v>174</v>
      </c>
      <c r="Q50" t="s">
        <v>175</v>
      </c>
      <c r="R50" t="s">
        <v>176</v>
      </c>
      <c r="S50" t="s">
        <v>182</v>
      </c>
      <c r="T50" t="s">
        <v>183</v>
      </c>
      <c r="U50" t="s">
        <v>177</v>
      </c>
      <c r="V50">
        <f>+ROW(pictures.concat[[#This Row],[Hero]])</f>
        <v>50</v>
      </c>
      <c r="W50" t="s">
        <v>185</v>
      </c>
      <c r="X50" t="str">
        <f t="shared" si="0"/>
        <v>&lt;definedName name="concat.serpentqueen.1"&gt;INDIRECT('pictures'!$B$50)&lt;/definedName&gt;</v>
      </c>
      <c r="Y50" s="124" t="str">
        <f t="shared" si="1"/>
        <v>&lt;definedName name="concat.serpentqueen.2"&gt;INDIRECT('pictures'!$C$50)&lt;/definedName&gt;</v>
      </c>
      <c r="Z50" s="124" t="str">
        <f t="shared" si="2"/>
        <v>&lt;definedName name="concat.serpentqueen.3"&gt;INDIRECT('pictures'!$D$50)&lt;/definedName&gt;</v>
      </c>
      <c r="AA50" s="124" t="str">
        <f t="shared" si="3"/>
        <v>&lt;definedName name="concat.serpentqueen.4"&gt;INDIRECT('pictures'!$E$50)&lt;/definedName&gt;</v>
      </c>
      <c r="AB50" s="124" t="str">
        <f t="shared" si="4"/>
        <v>&lt;definedName name="concat.serpentqueen.5"&gt;INDIRECT('pictures'!$F$50)&lt;/definedName&gt;</v>
      </c>
      <c r="AC50" s="123"/>
      <c r="AD50" s="123"/>
      <c r="AE50" s="123"/>
      <c r="AF50" s="123"/>
      <c r="AG50" s="123"/>
    </row>
    <row r="51" spans="1:33" x14ac:dyDescent="0.25">
      <c r="A51" t="s">
        <v>81</v>
      </c>
      <c r="B5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hero.shaman.stage1</v>
      </c>
      <c r="C51" t="str">
        <f>+"skill."&amp;SUBSTITUTE(SUBSTITUTE(LOWER(pictures.concat[[#This Row],[Hero]])," ",""),"-","")</f>
        <v>skill.shaman</v>
      </c>
      <c r="D51" t="str">
        <f>+"talent1."&amp;_xlfn.IFNA(SUBSTITUTE(SUBSTITUTE(LOWER(INDEX(heroes[Talent],MATCH(pictures.concat[[#This Row],[Hero]],heroes[Hero],0)))," ",""),"'",""),"empty")</f>
        <v>talent1.condemnation</v>
      </c>
      <c r="E51" t="str">
        <f>+"talent2."&amp;_xlfn.IFNA(SUBSTITUTE(LOWER(INDEX(pictures.talent2[Hero],MATCH(pictures.concat[[#This Row],[Hero]],pictures.talent2[Hero],0)))," ",""),"empty")</f>
        <v>talent2.empty</v>
      </c>
      <c r="F51" t="str">
        <f>+"crest."&amp;_xlfn.IFNA(IF(INDEX(heroes[Crest Set],MATCH(pictures.concat[[#This Row],[Hero]],heroes[Hero],0))="","empty",SUBSTITUTE(LOWER(INDEX(heroes[Crest Set],MATCH(pictures.concat[[#This Row],[Hero]],heroes[Hero],0)))," ","")),"empty")</f>
        <v>crest.tenacity</v>
      </c>
      <c r="H51" t="s">
        <v>167</v>
      </c>
      <c r="I51" t="str">
        <f>+"concat."&amp;SUBSTITUTE(SUBSTITUTE(LOWER(pictures.concat[[#This Row],[Hero]])," ",""),"-","")&amp;"."</f>
        <v>concat.shaman.</v>
      </c>
      <c r="J51">
        <v>1</v>
      </c>
      <c r="K51">
        <v>2</v>
      </c>
      <c r="L51">
        <v>3</v>
      </c>
      <c r="M51">
        <v>4</v>
      </c>
      <c r="N51">
        <v>5</v>
      </c>
      <c r="O51" t="s">
        <v>184</v>
      </c>
      <c r="P51" t="s">
        <v>174</v>
      </c>
      <c r="Q51" t="s">
        <v>175</v>
      </c>
      <c r="R51" t="s">
        <v>176</v>
      </c>
      <c r="S51" t="s">
        <v>182</v>
      </c>
      <c r="T51" t="s">
        <v>183</v>
      </c>
      <c r="U51" t="s">
        <v>177</v>
      </c>
      <c r="V51">
        <f>+ROW(pictures.concat[[#This Row],[Hero]])</f>
        <v>51</v>
      </c>
      <c r="W51" t="s">
        <v>185</v>
      </c>
      <c r="X51" t="str">
        <f t="shared" si="0"/>
        <v>&lt;definedName name="concat.shaman.1"&gt;INDIRECT('pictures'!$B$51)&lt;/definedName&gt;</v>
      </c>
      <c r="Y51" s="124" t="str">
        <f t="shared" si="1"/>
        <v>&lt;definedName name="concat.shaman.2"&gt;INDIRECT('pictures'!$C$51)&lt;/definedName&gt;</v>
      </c>
      <c r="Z51" s="124" t="str">
        <f t="shared" si="2"/>
        <v>&lt;definedName name="concat.shaman.3"&gt;INDIRECT('pictures'!$D$51)&lt;/definedName&gt;</v>
      </c>
      <c r="AA51" s="124" t="str">
        <f t="shared" si="3"/>
        <v>&lt;definedName name="concat.shaman.4"&gt;INDIRECT('pictures'!$E$51)&lt;/definedName&gt;</v>
      </c>
      <c r="AB51" s="124" t="str">
        <f t="shared" si="4"/>
        <v>&lt;definedName name="concat.shaman.5"&gt;INDIRECT('pictures'!$F$51)&lt;/definedName&gt;</v>
      </c>
      <c r="AC51" s="123"/>
      <c r="AD51" s="123"/>
      <c r="AE51" s="123"/>
      <c r="AF51" s="123"/>
      <c r="AG51" s="123"/>
    </row>
    <row r="52" spans="1:33" x14ac:dyDescent="0.25">
      <c r="A52" t="s">
        <v>82</v>
      </c>
      <c r="B5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hero.siren.stage1</v>
      </c>
      <c r="C52" t="str">
        <f>+"skill."&amp;SUBSTITUTE(SUBSTITUTE(LOWER(pictures.concat[[#This Row],[Hero]])," ",""),"-","")</f>
        <v>skill.siren</v>
      </c>
      <c r="D52" t="str">
        <f>+"talent1."&amp;_xlfn.IFNA(SUBSTITUTE(SUBSTITUTE(LOWER(INDEX(heroes[Talent],MATCH(pictures.concat[[#This Row],[Hero]],heroes[Hero],0)))," ",""),"'",""),"empty")</f>
        <v>talent1.heavyblow</v>
      </c>
      <c r="E52" t="str">
        <f>+"talent2."&amp;_xlfn.IFNA(SUBSTITUTE(LOWER(INDEX(pictures.talent2[Hero],MATCH(pictures.concat[[#This Row],[Hero]],pictures.talent2[Hero],0)))," ",""),"empty")</f>
        <v>talent2.empty</v>
      </c>
      <c r="F52" t="str">
        <f>+"crest."&amp;_xlfn.IFNA(IF(INDEX(heroes[Crest Set],MATCH(pictures.concat[[#This Row],[Hero]],heroes[Hero],0))="","empty",SUBSTITUTE(LOWER(INDEX(heroes[Crest Set],MATCH(pictures.concat[[#This Row],[Hero]],heroes[Hero],0)))," ","")),"empty")</f>
        <v>crest.slowdown</v>
      </c>
      <c r="H52" t="s">
        <v>167</v>
      </c>
      <c r="I52" t="str">
        <f>+"concat."&amp;SUBSTITUTE(SUBSTITUTE(LOWER(pictures.concat[[#This Row],[Hero]])," ",""),"-","")&amp;"."</f>
        <v>concat.siren.</v>
      </c>
      <c r="J52">
        <v>1</v>
      </c>
      <c r="K52">
        <v>2</v>
      </c>
      <c r="L52">
        <v>3</v>
      </c>
      <c r="M52">
        <v>4</v>
      </c>
      <c r="N52">
        <v>5</v>
      </c>
      <c r="O52" t="s">
        <v>184</v>
      </c>
      <c r="P52" t="s">
        <v>174</v>
      </c>
      <c r="Q52" t="s">
        <v>175</v>
      </c>
      <c r="R52" t="s">
        <v>176</v>
      </c>
      <c r="S52" t="s">
        <v>182</v>
      </c>
      <c r="T52" t="s">
        <v>183</v>
      </c>
      <c r="U52" t="s">
        <v>177</v>
      </c>
      <c r="V52">
        <f>+ROW(pictures.concat[[#This Row],[Hero]])</f>
        <v>52</v>
      </c>
      <c r="W52" t="s">
        <v>185</v>
      </c>
      <c r="X52" t="str">
        <f t="shared" si="0"/>
        <v>&lt;definedName name="concat.siren.1"&gt;INDIRECT('pictures'!$B$52)&lt;/definedName&gt;</v>
      </c>
      <c r="Y52" s="124" t="str">
        <f t="shared" si="1"/>
        <v>&lt;definedName name="concat.siren.2"&gt;INDIRECT('pictures'!$C$52)&lt;/definedName&gt;</v>
      </c>
      <c r="Z52" s="124" t="str">
        <f t="shared" si="2"/>
        <v>&lt;definedName name="concat.siren.3"&gt;INDIRECT('pictures'!$D$52)&lt;/definedName&gt;</v>
      </c>
      <c r="AA52" s="124" t="str">
        <f t="shared" si="3"/>
        <v>&lt;definedName name="concat.siren.4"&gt;INDIRECT('pictures'!$E$52)&lt;/definedName&gt;</v>
      </c>
      <c r="AB52" s="124" t="str">
        <f t="shared" si="4"/>
        <v>&lt;definedName name="concat.siren.5"&gt;INDIRECT('pictures'!$F$52)&lt;/definedName&gt;</v>
      </c>
      <c r="AC52" s="123"/>
      <c r="AD52" s="123"/>
      <c r="AE52" s="123"/>
      <c r="AF52" s="123"/>
      <c r="AG52" s="123"/>
    </row>
    <row r="53" spans="1:33" x14ac:dyDescent="0.25">
      <c r="A53" t="s">
        <v>83</v>
      </c>
      <c r="B5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hero.skullknight.stage2</v>
      </c>
      <c r="C53" t="str">
        <f>+"skill."&amp;SUBSTITUTE(SUBSTITUTE(LOWER(pictures.concat[[#This Row],[Hero]])," ",""),"-","")</f>
        <v>skill.skullknight</v>
      </c>
      <c r="D53" t="str">
        <f>+"talent1."&amp;_xlfn.IFNA(SUBSTITUTE(SUBSTITUTE(LOWER(INDEX(heroes[Talent],MATCH(pictures.concat[[#This Row],[Hero]],heroes[Hero],0)))," ",""),"'",""),"empty")</f>
        <v>talent1.corrode</v>
      </c>
      <c r="E53" t="str">
        <f>+"talent2."&amp;_xlfn.IFNA(SUBSTITUTE(LOWER(INDEX(pictures.talent2[Hero],MATCH(pictures.concat[[#This Row],[Hero]],pictures.talent2[Hero],0)))," ",""),"empty")</f>
        <v>talent2.skullknight</v>
      </c>
      <c r="F53" t="str">
        <f>+"crest."&amp;_xlfn.IFNA(IF(INDEX(heroes[Crest Set],MATCH(pictures.concat[[#This Row],[Hero]],heroes[Hero],0))="","empty",SUBSTITUTE(LOWER(INDEX(heroes[Crest Set],MATCH(pictures.concat[[#This Row],[Hero]],heroes[Hero],0)))," ","")),"empty")</f>
        <v>crest.scatter</v>
      </c>
      <c r="H53" t="s">
        <v>167</v>
      </c>
      <c r="I53" t="str">
        <f>+"concat."&amp;SUBSTITUTE(SUBSTITUTE(LOWER(pictures.concat[[#This Row],[Hero]])," ",""),"-","")&amp;"."</f>
        <v>concat.skullknight.</v>
      </c>
      <c r="J53">
        <v>1</v>
      </c>
      <c r="K53">
        <v>2</v>
      </c>
      <c r="L53">
        <v>3</v>
      </c>
      <c r="M53">
        <v>4</v>
      </c>
      <c r="N53">
        <v>5</v>
      </c>
      <c r="O53" t="s">
        <v>184</v>
      </c>
      <c r="P53" t="s">
        <v>174</v>
      </c>
      <c r="Q53" t="s">
        <v>175</v>
      </c>
      <c r="R53" t="s">
        <v>176</v>
      </c>
      <c r="S53" t="s">
        <v>182</v>
      </c>
      <c r="T53" t="s">
        <v>183</v>
      </c>
      <c r="U53" t="s">
        <v>177</v>
      </c>
      <c r="V53">
        <f>+ROW(pictures.concat[[#This Row],[Hero]])</f>
        <v>53</v>
      </c>
      <c r="W53" t="s">
        <v>185</v>
      </c>
      <c r="X53" t="str">
        <f t="shared" si="0"/>
        <v>&lt;definedName name="concat.skullknight.1"&gt;INDIRECT('pictures'!$B$53)&lt;/definedName&gt;</v>
      </c>
      <c r="Y53" s="124" t="str">
        <f t="shared" si="1"/>
        <v>&lt;definedName name="concat.skullknight.2"&gt;INDIRECT('pictures'!$C$53)&lt;/definedName&gt;</v>
      </c>
      <c r="Z53" s="124" t="str">
        <f t="shared" si="2"/>
        <v>&lt;definedName name="concat.skullknight.3"&gt;INDIRECT('pictures'!$D$53)&lt;/definedName&gt;</v>
      </c>
      <c r="AA53" s="124" t="str">
        <f t="shared" si="3"/>
        <v>&lt;definedName name="concat.skullknight.4"&gt;INDIRECT('pictures'!$E$53)&lt;/definedName&gt;</v>
      </c>
      <c r="AB53" s="124" t="str">
        <f t="shared" si="4"/>
        <v>&lt;definedName name="concat.skullknight.5"&gt;INDIRECT('pictures'!$F$53)&lt;/definedName&gt;</v>
      </c>
      <c r="AC53" s="123"/>
      <c r="AD53" s="123"/>
      <c r="AE53" s="123"/>
      <c r="AF53" s="123"/>
      <c r="AG53" s="123"/>
    </row>
    <row r="54" spans="1:33" x14ac:dyDescent="0.25">
      <c r="A54" t="s">
        <v>84</v>
      </c>
      <c r="B5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hero.snowzilla.stage2</v>
      </c>
      <c r="C54" t="str">
        <f>+"skill."&amp;SUBSTITUTE(SUBSTITUTE(LOWER(pictures.concat[[#This Row],[Hero]])," ",""),"-","")</f>
        <v>skill.snowzilla</v>
      </c>
      <c r="D54" t="str">
        <f>+"talent1."&amp;_xlfn.IFNA(SUBSTITUTE(SUBSTITUTE(LOWER(INDEX(heroes[Talent],MATCH(pictures.concat[[#This Row],[Hero]],heroes[Hero],0)))," ",""),"'",""),"empty")</f>
        <v>talent1.slowdown</v>
      </c>
      <c r="E54" t="str">
        <f>+"talent2."&amp;_xlfn.IFNA(SUBSTITUTE(LOWER(INDEX(pictures.talent2[Hero],MATCH(pictures.concat[[#This Row],[Hero]],pictures.talent2[Hero],0)))," ",""),"empty")</f>
        <v>talent2.empty</v>
      </c>
      <c r="F54" t="str">
        <f>+"crest."&amp;_xlfn.IFNA(IF(INDEX(heroes[Crest Set],MATCH(pictures.concat[[#This Row],[Hero]],heroes[Hero],0))="","empty",SUBSTITUTE(LOWER(INDEX(heroes[Crest Set],MATCH(pictures.concat[[#This Row],[Hero]],heroes[Hero],0)))," ","")),"empty")</f>
        <v>crest.empty</v>
      </c>
      <c r="H54" t="s">
        <v>167</v>
      </c>
      <c r="I54" t="str">
        <f>+"concat."&amp;SUBSTITUTE(SUBSTITUTE(LOWER(pictures.concat[[#This Row],[Hero]])," ",""),"-","")&amp;"."</f>
        <v>concat.snowzilla.</v>
      </c>
      <c r="J54">
        <v>1</v>
      </c>
      <c r="K54">
        <v>2</v>
      </c>
      <c r="L54">
        <v>3</v>
      </c>
      <c r="M54">
        <v>4</v>
      </c>
      <c r="N54">
        <v>5</v>
      </c>
      <c r="O54" t="s">
        <v>184</v>
      </c>
      <c r="P54" t="s">
        <v>174</v>
      </c>
      <c r="Q54" t="s">
        <v>175</v>
      </c>
      <c r="R54" t="s">
        <v>176</v>
      </c>
      <c r="S54" t="s">
        <v>182</v>
      </c>
      <c r="T54" t="s">
        <v>183</v>
      </c>
      <c r="U54" t="s">
        <v>177</v>
      </c>
      <c r="V54">
        <f>+ROW(pictures.concat[[#This Row],[Hero]])</f>
        <v>54</v>
      </c>
      <c r="W54" t="s">
        <v>185</v>
      </c>
      <c r="X54" t="str">
        <f t="shared" si="0"/>
        <v>&lt;definedName name="concat.snowzilla.1"&gt;INDIRECT('pictures'!$B$54)&lt;/definedName&gt;</v>
      </c>
      <c r="Y54" s="124" t="str">
        <f t="shared" si="1"/>
        <v>&lt;definedName name="concat.snowzilla.2"&gt;INDIRECT('pictures'!$C$54)&lt;/definedName&gt;</v>
      </c>
      <c r="Z54" s="124" t="str">
        <f t="shared" si="2"/>
        <v>&lt;definedName name="concat.snowzilla.3"&gt;INDIRECT('pictures'!$D$54)&lt;/definedName&gt;</v>
      </c>
      <c r="AA54" s="124" t="str">
        <f t="shared" si="3"/>
        <v>&lt;definedName name="concat.snowzilla.4"&gt;INDIRECT('pictures'!$E$54)&lt;/definedName&gt;</v>
      </c>
      <c r="AB54" s="124" t="str">
        <f t="shared" si="4"/>
        <v>&lt;definedName name="concat.snowzilla.5"&gt;INDIRECT('pictures'!$F$54)&lt;/definedName&gt;</v>
      </c>
      <c r="AC54" s="123"/>
      <c r="AD54" s="123"/>
      <c r="AE54" s="123"/>
      <c r="AF54" s="123"/>
      <c r="AG54" s="123"/>
    </row>
    <row r="55" spans="1:33" x14ac:dyDescent="0.25">
      <c r="A55" t="s">
        <v>85</v>
      </c>
      <c r="B55"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hero.spiritmage.stage2</v>
      </c>
      <c r="C55" t="str">
        <f>+"skill."&amp;SUBSTITUTE(SUBSTITUTE(LOWER(pictures.concat[[#This Row],[Hero]])," ",""),"-","")</f>
        <v>skill.spiritmage</v>
      </c>
      <c r="D55" t="str">
        <f>+"talent1."&amp;_xlfn.IFNA(SUBSTITUTE(SUBSTITUTE(LOWER(INDEX(heroes[Talent],MATCH(pictures.concat[[#This Row],[Hero]],heroes[Hero],0)))," ",""),"'",""),"empty")</f>
        <v>talent1.wargod</v>
      </c>
      <c r="E55" t="str">
        <f>+"talent2."&amp;_xlfn.IFNA(SUBSTITUTE(LOWER(INDEX(pictures.talent2[Hero],MATCH(pictures.concat[[#This Row],[Hero]],pictures.talent2[Hero],0)))," ",""),"empty")</f>
        <v>talent2.empty</v>
      </c>
      <c r="F55" t="str">
        <f>+"crest."&amp;_xlfn.IFNA(IF(INDEX(heroes[Crest Set],MATCH(pictures.concat[[#This Row],[Hero]],heroes[Hero],0))="","empty",SUBSTITUTE(LOWER(INDEX(heroes[Crest Set],MATCH(pictures.concat[[#This Row],[Hero]],heroes[Hero],0)))," ","")),"empty")</f>
        <v>crest.revive</v>
      </c>
      <c r="H55" t="s">
        <v>167</v>
      </c>
      <c r="I55" t="str">
        <f>+"concat."&amp;SUBSTITUTE(SUBSTITUTE(LOWER(pictures.concat[[#This Row],[Hero]])," ",""),"-","")&amp;"."</f>
        <v>concat.spiritmage.</v>
      </c>
      <c r="J55">
        <v>1</v>
      </c>
      <c r="K55">
        <v>2</v>
      </c>
      <c r="L55">
        <v>3</v>
      </c>
      <c r="M55">
        <v>4</v>
      </c>
      <c r="N55">
        <v>5</v>
      </c>
      <c r="O55" t="s">
        <v>184</v>
      </c>
      <c r="P55" t="s">
        <v>174</v>
      </c>
      <c r="Q55" t="s">
        <v>175</v>
      </c>
      <c r="R55" t="s">
        <v>176</v>
      </c>
      <c r="S55" t="s">
        <v>182</v>
      </c>
      <c r="T55" t="s">
        <v>183</v>
      </c>
      <c r="U55" t="s">
        <v>177</v>
      </c>
      <c r="V55">
        <f>+ROW(pictures.concat[[#This Row],[Hero]])</f>
        <v>55</v>
      </c>
      <c r="W55" t="s">
        <v>185</v>
      </c>
      <c r="X55" t="str">
        <f t="shared" si="0"/>
        <v>&lt;definedName name="concat.spiritmage.1"&gt;INDIRECT('pictures'!$B$55)&lt;/definedName&gt;</v>
      </c>
      <c r="Y55" s="124" t="str">
        <f t="shared" si="1"/>
        <v>&lt;definedName name="concat.spiritmage.2"&gt;INDIRECT('pictures'!$C$55)&lt;/definedName&gt;</v>
      </c>
      <c r="Z55" s="124" t="str">
        <f t="shared" si="2"/>
        <v>&lt;definedName name="concat.spiritmage.3"&gt;INDIRECT('pictures'!$D$55)&lt;/definedName&gt;</v>
      </c>
      <c r="AA55" s="124" t="str">
        <f t="shared" si="3"/>
        <v>&lt;definedName name="concat.spiritmage.4"&gt;INDIRECT('pictures'!$E$55)&lt;/definedName&gt;</v>
      </c>
      <c r="AB55" s="124" t="str">
        <f t="shared" si="4"/>
        <v>&lt;definedName name="concat.spiritmage.5"&gt;INDIRECT('pictures'!$F$55)&lt;/definedName&gt;</v>
      </c>
      <c r="AC55" s="123"/>
      <c r="AD55" s="123"/>
      <c r="AE55" s="123"/>
      <c r="AF55" s="123"/>
      <c r="AG55" s="123"/>
    </row>
    <row r="56" spans="1:33" x14ac:dyDescent="0.25">
      <c r="A56" t="s">
        <v>86</v>
      </c>
      <c r="B56"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hero.succubus.stage1</v>
      </c>
      <c r="C56" t="str">
        <f>+"skill."&amp;SUBSTITUTE(SUBSTITUTE(LOWER(pictures.concat[[#This Row],[Hero]])," ",""),"-","")</f>
        <v>skill.succubus</v>
      </c>
      <c r="D56" t="str">
        <f>+"talent1."&amp;_xlfn.IFNA(SUBSTITUTE(SUBSTITUTE(LOWER(INDEX(heroes[Talent],MATCH(pictures.concat[[#This Row],[Hero]],heroes[Hero],0)))," ",""),"'",""),"empty")</f>
        <v>talent1.sprint</v>
      </c>
      <c r="E56" t="str">
        <f>+"talent2."&amp;_xlfn.IFNA(SUBSTITUTE(LOWER(INDEX(pictures.talent2[Hero],MATCH(pictures.concat[[#This Row],[Hero]],pictures.talent2[Hero],0)))," ",""),"empty")</f>
        <v>talent2.empty</v>
      </c>
      <c r="F56" t="str">
        <f>+"crest."&amp;_xlfn.IFNA(IF(INDEX(heroes[Crest Set],MATCH(pictures.concat[[#This Row],[Hero]],heroes[Hero],0))="","empty",SUBSTITUTE(LOWER(INDEX(heroes[Crest Set],MATCH(pictures.concat[[#This Row],[Hero]],heroes[Hero],0)))," ","")),"empty")</f>
        <v>crest.empty</v>
      </c>
      <c r="H56" t="s">
        <v>167</v>
      </c>
      <c r="I56" t="str">
        <f>+"concat."&amp;SUBSTITUTE(SUBSTITUTE(LOWER(pictures.concat[[#This Row],[Hero]])," ",""),"-","")&amp;"."</f>
        <v>concat.succubus.</v>
      </c>
      <c r="J56">
        <v>1</v>
      </c>
      <c r="K56">
        <v>2</v>
      </c>
      <c r="L56">
        <v>3</v>
      </c>
      <c r="M56">
        <v>4</v>
      </c>
      <c r="N56">
        <v>5</v>
      </c>
      <c r="O56" t="s">
        <v>184</v>
      </c>
      <c r="P56" t="s">
        <v>174</v>
      </c>
      <c r="Q56" t="s">
        <v>175</v>
      </c>
      <c r="R56" t="s">
        <v>176</v>
      </c>
      <c r="S56" t="s">
        <v>182</v>
      </c>
      <c r="T56" t="s">
        <v>183</v>
      </c>
      <c r="U56" t="s">
        <v>177</v>
      </c>
      <c r="V56">
        <f>+ROW(pictures.concat[[#This Row],[Hero]])</f>
        <v>56</v>
      </c>
      <c r="W56" t="s">
        <v>185</v>
      </c>
      <c r="X56" t="str">
        <f t="shared" si="0"/>
        <v>&lt;definedName name="concat.succubus.1"&gt;INDIRECT('pictures'!$B$56)&lt;/definedName&gt;</v>
      </c>
      <c r="Y56" s="124" t="str">
        <f t="shared" si="1"/>
        <v>&lt;definedName name="concat.succubus.2"&gt;INDIRECT('pictures'!$C$56)&lt;/definedName&gt;</v>
      </c>
      <c r="Z56" s="124" t="str">
        <f t="shared" si="2"/>
        <v>&lt;definedName name="concat.succubus.3"&gt;INDIRECT('pictures'!$D$56)&lt;/definedName&gt;</v>
      </c>
      <c r="AA56" s="124" t="str">
        <f t="shared" si="3"/>
        <v>&lt;definedName name="concat.succubus.4"&gt;INDIRECT('pictures'!$E$56)&lt;/definedName&gt;</v>
      </c>
      <c r="AB56" s="124" t="str">
        <f t="shared" si="4"/>
        <v>&lt;definedName name="concat.succubus.5"&gt;INDIRECT('pictures'!$F$56)&lt;/definedName&gt;</v>
      </c>
      <c r="AC56" s="123"/>
      <c r="AD56" s="123"/>
      <c r="AE56" s="123"/>
      <c r="AF56" s="123"/>
      <c r="AG56" s="123"/>
    </row>
    <row r="57" spans="1:33" x14ac:dyDescent="0.25">
      <c r="A57" t="s">
        <v>87</v>
      </c>
      <c r="B57"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hero.thundergod.stage2</v>
      </c>
      <c r="C57" t="str">
        <f>+"skill."&amp;SUBSTITUTE(SUBSTITUTE(LOWER(pictures.concat[[#This Row],[Hero]])," ",""),"-","")</f>
        <v>skill.thundergod</v>
      </c>
      <c r="D57" t="str">
        <f>+"talent1."&amp;_xlfn.IFNA(SUBSTITUTE(SUBSTITUTE(LOWER(INDEX(heroes[Talent],MATCH(pictures.concat[[#This Row],[Hero]],heroes[Hero],0)))," ",""),"'",""),"empty")</f>
        <v>talent1.revive</v>
      </c>
      <c r="E57" t="str">
        <f>+"talent2."&amp;_xlfn.IFNA(SUBSTITUTE(LOWER(INDEX(pictures.talent2[Hero],MATCH(pictures.concat[[#This Row],[Hero]],pictures.talent2[Hero],0)))," ",""),"empty")</f>
        <v>talent2.empty</v>
      </c>
      <c r="F57" t="str">
        <f>+"crest."&amp;_xlfn.IFNA(IF(INDEX(heroes[Crest Set],MATCH(pictures.concat[[#This Row],[Hero]],heroes[Hero],0))="","empty",SUBSTITUTE(LOWER(INDEX(heroes[Crest Set],MATCH(pictures.concat[[#This Row],[Hero]],heroes[Hero],0)))," ","")),"empty")</f>
        <v>crest.empty</v>
      </c>
      <c r="H57" t="s">
        <v>167</v>
      </c>
      <c r="I57" t="str">
        <f>+"concat."&amp;SUBSTITUTE(SUBSTITUTE(LOWER(pictures.concat[[#This Row],[Hero]])," ",""),"-","")&amp;"."</f>
        <v>concat.thundergod.</v>
      </c>
      <c r="J57">
        <v>1</v>
      </c>
      <c r="K57">
        <v>2</v>
      </c>
      <c r="L57">
        <v>3</v>
      </c>
      <c r="M57">
        <v>4</v>
      </c>
      <c r="N57">
        <v>5</v>
      </c>
      <c r="O57" t="s">
        <v>184</v>
      </c>
      <c r="P57" t="s">
        <v>174</v>
      </c>
      <c r="Q57" t="s">
        <v>175</v>
      </c>
      <c r="R57" t="s">
        <v>176</v>
      </c>
      <c r="S57" t="s">
        <v>182</v>
      </c>
      <c r="T57" t="s">
        <v>183</v>
      </c>
      <c r="U57" t="s">
        <v>177</v>
      </c>
      <c r="V57">
        <f>+ROW(pictures.concat[[#This Row],[Hero]])</f>
        <v>57</v>
      </c>
      <c r="W57" t="s">
        <v>185</v>
      </c>
      <c r="X57" t="str">
        <f t="shared" si="0"/>
        <v>&lt;definedName name="concat.thundergod.1"&gt;INDIRECT('pictures'!$B$57)&lt;/definedName&gt;</v>
      </c>
      <c r="Y57" s="124" t="str">
        <f t="shared" si="1"/>
        <v>&lt;definedName name="concat.thundergod.2"&gt;INDIRECT('pictures'!$C$57)&lt;/definedName&gt;</v>
      </c>
      <c r="Z57" s="124" t="str">
        <f t="shared" si="2"/>
        <v>&lt;definedName name="concat.thundergod.3"&gt;INDIRECT('pictures'!$D$57)&lt;/definedName&gt;</v>
      </c>
      <c r="AA57" s="124" t="str">
        <f t="shared" si="3"/>
        <v>&lt;definedName name="concat.thundergod.4"&gt;INDIRECT('pictures'!$E$57)&lt;/definedName&gt;</v>
      </c>
      <c r="AB57" s="124" t="str">
        <f t="shared" si="4"/>
        <v>&lt;definedName name="concat.thundergod.5"&gt;INDIRECT('pictures'!$F$57)&lt;/definedName&gt;</v>
      </c>
      <c r="AC57" s="123"/>
      <c r="AD57" s="123"/>
      <c r="AE57" s="123"/>
      <c r="AF57" s="123"/>
      <c r="AG57" s="123"/>
    </row>
    <row r="58" spans="1:33" x14ac:dyDescent="0.25">
      <c r="A58" t="s">
        <v>88</v>
      </c>
      <c r="B58"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hero.treantaur.stage2</v>
      </c>
      <c r="C58" t="str">
        <f>+"skill."&amp;SUBSTITUTE(SUBSTITUTE(LOWER(pictures.concat[[#This Row],[Hero]])," ",""),"-","")</f>
        <v>skill.treantaur</v>
      </c>
      <c r="D58" t="str">
        <f>+"talent1."&amp;_xlfn.IFNA(SUBSTITUTE(SUBSTITUTE(LOWER(INDEX(heroes[Talent],MATCH(pictures.concat[[#This Row],[Hero]],heroes[Hero],0)))," ",""),"'",""),"empty")</f>
        <v>talent1.revive</v>
      </c>
      <c r="E58" t="str">
        <f>+"talent2."&amp;_xlfn.IFNA(SUBSTITUTE(LOWER(INDEX(pictures.talent2[Hero],MATCH(pictures.concat[[#This Row],[Hero]],pictures.talent2[Hero],0)))," ",""),"empty")</f>
        <v>talent2.empty</v>
      </c>
      <c r="F58" t="str">
        <f>+"crest."&amp;_xlfn.IFNA(IF(INDEX(heroes[Crest Set],MATCH(pictures.concat[[#This Row],[Hero]],heroes[Hero],0))="","empty",SUBSTITUTE(LOWER(INDEX(heroes[Crest Set],MATCH(pictures.concat[[#This Row],[Hero]],heroes[Hero],0)))," ","")),"empty")</f>
        <v>crest.stoneskin</v>
      </c>
      <c r="H58" t="s">
        <v>167</v>
      </c>
      <c r="I58" t="str">
        <f>+"concat."&amp;SUBSTITUTE(SUBSTITUTE(LOWER(pictures.concat[[#This Row],[Hero]])," ",""),"-","")&amp;"."</f>
        <v>concat.treantaur.</v>
      </c>
      <c r="J58">
        <v>1</v>
      </c>
      <c r="K58">
        <v>2</v>
      </c>
      <c r="L58">
        <v>3</v>
      </c>
      <c r="M58">
        <v>4</v>
      </c>
      <c r="N58">
        <v>5</v>
      </c>
      <c r="O58" t="s">
        <v>184</v>
      </c>
      <c r="P58" t="s">
        <v>174</v>
      </c>
      <c r="Q58" t="s">
        <v>175</v>
      </c>
      <c r="R58" t="s">
        <v>176</v>
      </c>
      <c r="S58" t="s">
        <v>182</v>
      </c>
      <c r="T58" t="s">
        <v>183</v>
      </c>
      <c r="U58" t="s">
        <v>177</v>
      </c>
      <c r="V58">
        <f>+ROW(pictures.concat[[#This Row],[Hero]])</f>
        <v>58</v>
      </c>
      <c r="W58" t="s">
        <v>185</v>
      </c>
      <c r="X58" t="str">
        <f t="shared" si="0"/>
        <v>&lt;definedName name="concat.treantaur.1"&gt;INDIRECT('pictures'!$B$58)&lt;/definedName&gt;</v>
      </c>
      <c r="Y58" s="124" t="str">
        <f t="shared" si="1"/>
        <v>&lt;definedName name="concat.treantaur.2"&gt;INDIRECT('pictures'!$C$58)&lt;/definedName&gt;</v>
      </c>
      <c r="Z58" s="124" t="str">
        <f t="shared" si="2"/>
        <v>&lt;definedName name="concat.treantaur.3"&gt;INDIRECT('pictures'!$D$58)&lt;/definedName&gt;</v>
      </c>
      <c r="AA58" s="124" t="str">
        <f t="shared" si="3"/>
        <v>&lt;definedName name="concat.treantaur.4"&gt;INDIRECT('pictures'!$E$58)&lt;/definedName&gt;</v>
      </c>
      <c r="AB58" s="124" t="str">
        <f t="shared" si="4"/>
        <v>&lt;definedName name="concat.treantaur.5"&gt;INDIRECT('pictures'!$F$58)&lt;/definedName&gt;</v>
      </c>
      <c r="AC58" s="123"/>
      <c r="AD58" s="123"/>
      <c r="AE58" s="123"/>
      <c r="AF58" s="123"/>
      <c r="AG58" s="123"/>
    </row>
    <row r="59" spans="1:33" x14ac:dyDescent="0.25">
      <c r="A59" t="s">
        <v>89</v>
      </c>
      <c r="B59"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hero.triton.stage1</v>
      </c>
      <c r="C59" t="str">
        <f>+"skill."&amp;SUBSTITUTE(SUBSTITUTE(LOWER(pictures.concat[[#This Row],[Hero]])," ",""),"-","")</f>
        <v>skill.triton</v>
      </c>
      <c r="D59" t="str">
        <f>+"talent1."&amp;_xlfn.IFNA(SUBSTITUTE(SUBSTITUTE(LOWER(INDEX(heroes[Talent],MATCH(pictures.concat[[#This Row],[Hero]],heroes[Hero],0)))," ",""),"'",""),"empty")</f>
        <v>talent1.wargod</v>
      </c>
      <c r="E59" t="str">
        <f>+"talent2."&amp;_xlfn.IFNA(SUBSTITUTE(LOWER(INDEX(pictures.talent2[Hero],MATCH(pictures.concat[[#This Row],[Hero]],pictures.talent2[Hero],0)))," ",""),"empty")</f>
        <v>talent2.empty</v>
      </c>
      <c r="F59" t="str">
        <f>+"crest."&amp;_xlfn.IFNA(IF(INDEX(heroes[Crest Set],MATCH(pictures.concat[[#This Row],[Hero]],heroes[Hero],0))="","empty",SUBSTITUTE(LOWER(INDEX(heroes[Crest Set],MATCH(pictures.concat[[#This Row],[Hero]],heroes[Hero],0)))," ","")),"empty")</f>
        <v>crest.heavyblow</v>
      </c>
      <c r="H59" t="s">
        <v>167</v>
      </c>
      <c r="I59" t="str">
        <f>+"concat."&amp;SUBSTITUTE(SUBSTITUTE(LOWER(pictures.concat[[#This Row],[Hero]])," ",""),"-","")&amp;"."</f>
        <v>concat.triton.</v>
      </c>
      <c r="J59">
        <v>1</v>
      </c>
      <c r="K59">
        <v>2</v>
      </c>
      <c r="L59">
        <v>3</v>
      </c>
      <c r="M59">
        <v>4</v>
      </c>
      <c r="N59">
        <v>5</v>
      </c>
      <c r="O59" t="s">
        <v>184</v>
      </c>
      <c r="P59" t="s">
        <v>174</v>
      </c>
      <c r="Q59" t="s">
        <v>175</v>
      </c>
      <c r="R59" t="s">
        <v>176</v>
      </c>
      <c r="S59" t="s">
        <v>182</v>
      </c>
      <c r="T59" t="s">
        <v>183</v>
      </c>
      <c r="U59" t="s">
        <v>177</v>
      </c>
      <c r="V59">
        <f>+ROW(pictures.concat[[#This Row],[Hero]])</f>
        <v>59</v>
      </c>
      <c r="W59" t="s">
        <v>185</v>
      </c>
      <c r="X59" t="str">
        <f t="shared" si="0"/>
        <v>&lt;definedName name="concat.triton.1"&gt;INDIRECT('pictures'!$B$59)&lt;/definedName&gt;</v>
      </c>
      <c r="Y59" s="124" t="str">
        <f t="shared" si="1"/>
        <v>&lt;definedName name="concat.triton.2"&gt;INDIRECT('pictures'!$C$59)&lt;/definedName&gt;</v>
      </c>
      <c r="Z59" s="124" t="str">
        <f t="shared" si="2"/>
        <v>&lt;definedName name="concat.triton.3"&gt;INDIRECT('pictures'!$D$59)&lt;/definedName&gt;</v>
      </c>
      <c r="AA59" s="124" t="str">
        <f t="shared" si="3"/>
        <v>&lt;definedName name="concat.triton.4"&gt;INDIRECT('pictures'!$E$59)&lt;/definedName&gt;</v>
      </c>
      <c r="AB59" s="124" t="str">
        <f t="shared" si="4"/>
        <v>&lt;definedName name="concat.triton.5"&gt;INDIRECT('pictures'!$F$59)&lt;/definedName&gt;</v>
      </c>
      <c r="AC59" s="123"/>
      <c r="AD59" s="123"/>
      <c r="AE59" s="123"/>
      <c r="AF59" s="123"/>
      <c r="AG59" s="123"/>
    </row>
    <row r="60" spans="1:33" x14ac:dyDescent="0.25">
      <c r="A60" t="s">
        <v>90</v>
      </c>
      <c r="B60"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hero.trixietreat.stage1</v>
      </c>
      <c r="C60" t="str">
        <f>+"skill."&amp;SUBSTITUTE(SUBSTITUTE(LOWER(pictures.concat[[#This Row],[Hero]])," ",""),"-","")</f>
        <v>skill.trixietreat</v>
      </c>
      <c r="D60" t="str">
        <f>+"talent1."&amp;_xlfn.IFNA(SUBSTITUTE(SUBSTITUTE(LOWER(INDEX(heroes[Talent],MATCH(pictures.concat[[#This Row],[Hero]],heroes[Hero],0)))," ",""),"'",""),"empty")</f>
        <v>talent1.enlighten</v>
      </c>
      <c r="E60" t="str">
        <f>+"talent2."&amp;_xlfn.IFNA(SUBSTITUTE(LOWER(INDEX(pictures.talent2[Hero],MATCH(pictures.concat[[#This Row],[Hero]],pictures.talent2[Hero],0)))," ",""),"empty")</f>
        <v>talent2.trixietreat</v>
      </c>
      <c r="F60" t="str">
        <f>+"crest."&amp;_xlfn.IFNA(IF(INDEX(heroes[Crest Set],MATCH(pictures.concat[[#This Row],[Hero]],heroes[Hero],0))="","empty",SUBSTITUTE(LOWER(INDEX(heroes[Crest Set],MATCH(pictures.concat[[#This Row],[Hero]],heroes[Hero],0)))," ","")),"empty")</f>
        <v>crest.empty</v>
      </c>
      <c r="H60" t="s">
        <v>167</v>
      </c>
      <c r="I60" t="str">
        <f>+"concat."&amp;SUBSTITUTE(SUBSTITUTE(LOWER(pictures.concat[[#This Row],[Hero]])," ",""),"-","")&amp;"."</f>
        <v>concat.trixietreat.</v>
      </c>
      <c r="J60">
        <v>1</v>
      </c>
      <c r="K60">
        <v>2</v>
      </c>
      <c r="L60">
        <v>3</v>
      </c>
      <c r="M60">
        <v>4</v>
      </c>
      <c r="N60">
        <v>5</v>
      </c>
      <c r="O60" t="s">
        <v>184</v>
      </c>
      <c r="P60" t="s">
        <v>174</v>
      </c>
      <c r="Q60" t="s">
        <v>175</v>
      </c>
      <c r="R60" t="s">
        <v>176</v>
      </c>
      <c r="S60" t="s">
        <v>182</v>
      </c>
      <c r="T60" t="s">
        <v>183</v>
      </c>
      <c r="U60" t="s">
        <v>177</v>
      </c>
      <c r="V60">
        <f>+ROW(pictures.concat[[#This Row],[Hero]])</f>
        <v>60</v>
      </c>
      <c r="W60" t="s">
        <v>185</v>
      </c>
      <c r="X60" t="str">
        <f t="shared" si="0"/>
        <v>&lt;definedName name="concat.trixietreat.1"&gt;INDIRECT('pictures'!$B$60)&lt;/definedName&gt;</v>
      </c>
      <c r="Y60" s="124" t="str">
        <f t="shared" si="1"/>
        <v>&lt;definedName name="concat.trixietreat.2"&gt;INDIRECT('pictures'!$C$60)&lt;/definedName&gt;</v>
      </c>
      <c r="Z60" s="124" t="str">
        <f t="shared" si="2"/>
        <v>&lt;definedName name="concat.trixietreat.3"&gt;INDIRECT('pictures'!$D$60)&lt;/definedName&gt;</v>
      </c>
      <c r="AA60" s="124" t="str">
        <f t="shared" si="3"/>
        <v>&lt;definedName name="concat.trixietreat.4"&gt;INDIRECT('pictures'!$E$60)&lt;/definedName&gt;</v>
      </c>
      <c r="AB60" s="124" t="str">
        <f t="shared" si="4"/>
        <v>&lt;definedName name="concat.trixietreat.5"&gt;INDIRECT('pictures'!$F$60)&lt;/definedName&gt;</v>
      </c>
      <c r="AC60" s="123"/>
      <c r="AD60" s="123"/>
      <c r="AE60" s="123"/>
      <c r="AF60" s="123"/>
      <c r="AG60" s="123"/>
    </row>
    <row r="61" spans="1:33" x14ac:dyDescent="0.25">
      <c r="A61" t="s">
        <v>91</v>
      </c>
      <c r="B61"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hero.valentina.stage2</v>
      </c>
      <c r="C61" t="str">
        <f>+"skill."&amp;SUBSTITUTE(SUBSTITUTE(LOWER(pictures.concat[[#This Row],[Hero]])," ",""),"-","")</f>
        <v>skill.valentina</v>
      </c>
      <c r="D61" t="str">
        <f>+"talent1."&amp;_xlfn.IFNA(SUBSTITUTE(SUBSTITUTE(LOWER(INDEX(heroes[Talent],MATCH(pictures.concat[[#This Row],[Hero]],heroes[Hero],0)))," ",""),"'",""),"empty")</f>
        <v>talent1.revitalize</v>
      </c>
      <c r="E61" t="str">
        <f>+"talent2."&amp;_xlfn.IFNA(SUBSTITUTE(LOWER(INDEX(pictures.talent2[Hero],MATCH(pictures.concat[[#This Row],[Hero]],pictures.talent2[Hero],0)))," ",""),"empty")</f>
        <v>talent2.empty</v>
      </c>
      <c r="F61" t="str">
        <f>+"crest."&amp;_xlfn.IFNA(IF(INDEX(heroes[Crest Set],MATCH(pictures.concat[[#This Row],[Hero]],heroes[Hero],0))="","empty",SUBSTITUTE(LOWER(INDEX(heroes[Crest Set],MATCH(pictures.concat[[#This Row],[Hero]],heroes[Hero],0)))," ","")),"empty")</f>
        <v>crest.slowdown</v>
      </c>
      <c r="H61" t="s">
        <v>167</v>
      </c>
      <c r="I61" t="str">
        <f>+"concat."&amp;SUBSTITUTE(SUBSTITUTE(LOWER(pictures.concat[[#This Row],[Hero]])," ",""),"-","")&amp;"."</f>
        <v>concat.valentina.</v>
      </c>
      <c r="J61">
        <v>1</v>
      </c>
      <c r="K61">
        <v>2</v>
      </c>
      <c r="L61">
        <v>3</v>
      </c>
      <c r="M61">
        <v>4</v>
      </c>
      <c r="N61">
        <v>5</v>
      </c>
      <c r="O61" t="s">
        <v>184</v>
      </c>
      <c r="P61" t="s">
        <v>174</v>
      </c>
      <c r="Q61" t="s">
        <v>175</v>
      </c>
      <c r="R61" t="s">
        <v>176</v>
      </c>
      <c r="S61" t="s">
        <v>182</v>
      </c>
      <c r="T61" t="s">
        <v>183</v>
      </c>
      <c r="U61" t="s">
        <v>177</v>
      </c>
      <c r="V61">
        <f>+ROW(pictures.concat[[#This Row],[Hero]])</f>
        <v>61</v>
      </c>
      <c r="W61" t="s">
        <v>185</v>
      </c>
      <c r="X61" t="str">
        <f t="shared" si="0"/>
        <v>&lt;definedName name="concat.valentina.1"&gt;INDIRECT('pictures'!$B$61)&lt;/definedName&gt;</v>
      </c>
      <c r="Y61" s="124" t="str">
        <f t="shared" si="1"/>
        <v>&lt;definedName name="concat.valentina.2"&gt;INDIRECT('pictures'!$C$61)&lt;/definedName&gt;</v>
      </c>
      <c r="Z61" s="124" t="str">
        <f t="shared" si="2"/>
        <v>&lt;definedName name="concat.valentina.3"&gt;INDIRECT('pictures'!$D$61)&lt;/definedName&gt;</v>
      </c>
      <c r="AA61" s="124" t="str">
        <f t="shared" si="3"/>
        <v>&lt;definedName name="concat.valentina.4"&gt;INDIRECT('pictures'!$E$61)&lt;/definedName&gt;</v>
      </c>
      <c r="AB61" s="124" t="str">
        <f t="shared" si="4"/>
        <v>&lt;definedName name="concat.valentina.5"&gt;INDIRECT('pictures'!$F$61)&lt;/definedName&gt;</v>
      </c>
      <c r="AC61" s="123"/>
      <c r="AD61" s="123"/>
      <c r="AE61" s="123"/>
      <c r="AF61" s="123"/>
      <c r="AG61" s="123"/>
    </row>
    <row r="62" spans="1:33" x14ac:dyDescent="0.25">
      <c r="A62" t="s">
        <v>92</v>
      </c>
      <c r="B62"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hero.vladdracula.stage2</v>
      </c>
      <c r="C62" t="str">
        <f>+"skill."&amp;SUBSTITUTE(SUBSTITUTE(LOWER(pictures.concat[[#This Row],[Hero]])," ",""),"-","")</f>
        <v>skill.vladdracula</v>
      </c>
      <c r="D62" t="str">
        <f>+"talent1."&amp;_xlfn.IFNA(SUBSTITUTE(SUBSTITUTE(LOWER(INDEX(heroes[Talent],MATCH(pictures.concat[[#This Row],[Hero]],heroes[Hero],0)))," ",""),"'",""),"empty")</f>
        <v>talent1.bulwark</v>
      </c>
      <c r="E62" t="str">
        <f>+"talent2."&amp;_xlfn.IFNA(SUBSTITUTE(LOWER(INDEX(pictures.talent2[Hero],MATCH(pictures.concat[[#This Row],[Hero]],pictures.talent2[Hero],0)))," ",""),"empty")</f>
        <v>talent2.empty</v>
      </c>
      <c r="F62" t="str">
        <f>+"crest."&amp;_xlfn.IFNA(IF(INDEX(heroes[Crest Set],MATCH(pictures.concat[[#This Row],[Hero]],heroes[Hero],0))="","empty",SUBSTITUTE(LOWER(INDEX(heroes[Crest Set],MATCH(pictures.concat[[#This Row],[Hero]],heroes[Hero],0)))," ","")),"empty")</f>
        <v>crest.wargod</v>
      </c>
      <c r="H62" t="s">
        <v>167</v>
      </c>
      <c r="I62" t="str">
        <f>+"concat."&amp;SUBSTITUTE(SUBSTITUTE(LOWER(pictures.concat[[#This Row],[Hero]])," ",""),"-","")&amp;"."</f>
        <v>concat.vladdracula.</v>
      </c>
      <c r="J62">
        <v>1</v>
      </c>
      <c r="K62">
        <v>2</v>
      </c>
      <c r="L62">
        <v>3</v>
      </c>
      <c r="M62">
        <v>4</v>
      </c>
      <c r="N62">
        <v>5</v>
      </c>
      <c r="O62" t="s">
        <v>184</v>
      </c>
      <c r="P62" t="s">
        <v>174</v>
      </c>
      <c r="Q62" t="s">
        <v>175</v>
      </c>
      <c r="R62" t="s">
        <v>176</v>
      </c>
      <c r="S62" t="s">
        <v>182</v>
      </c>
      <c r="T62" t="s">
        <v>183</v>
      </c>
      <c r="U62" t="s">
        <v>177</v>
      </c>
      <c r="V62">
        <f>+ROW(pictures.concat[[#This Row],[Hero]])</f>
        <v>62</v>
      </c>
      <c r="W62" t="s">
        <v>185</v>
      </c>
      <c r="X62" t="str">
        <f t="shared" si="0"/>
        <v>&lt;definedName name="concat.vladdracula.1"&gt;INDIRECT('pictures'!$B$62)&lt;/definedName&gt;</v>
      </c>
      <c r="Y62" s="124" t="str">
        <f t="shared" si="1"/>
        <v>&lt;definedName name="concat.vladdracula.2"&gt;INDIRECT('pictures'!$C$62)&lt;/definedName&gt;</v>
      </c>
      <c r="Z62" s="124" t="str">
        <f t="shared" si="2"/>
        <v>&lt;definedName name="concat.vladdracula.3"&gt;INDIRECT('pictures'!$D$62)&lt;/definedName&gt;</v>
      </c>
      <c r="AA62" s="124" t="str">
        <f t="shared" si="3"/>
        <v>&lt;definedName name="concat.vladdracula.4"&gt;INDIRECT('pictures'!$E$62)&lt;/definedName&gt;</v>
      </c>
      <c r="AB62" s="124" t="str">
        <f t="shared" si="4"/>
        <v>&lt;definedName name="concat.vladdracula.5"&gt;INDIRECT('pictures'!$F$62)&lt;/definedName&gt;</v>
      </c>
      <c r="AC62" s="123"/>
      <c r="AD62" s="123"/>
      <c r="AE62" s="123"/>
      <c r="AF62" s="123"/>
      <c r="AG62" s="123"/>
    </row>
    <row r="63" spans="1:33" x14ac:dyDescent="0.25">
      <c r="A63" t="s">
        <v>93</v>
      </c>
      <c r="B63"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hero.warlock.stage2</v>
      </c>
      <c r="C63" t="str">
        <f>+"skill."&amp;SUBSTITUTE(SUBSTITUTE(LOWER(pictures.concat[[#This Row],[Hero]])," ",""),"-","")</f>
        <v>skill.warlock</v>
      </c>
      <c r="D63" t="str">
        <f>+"talent1."&amp;_xlfn.IFNA(SUBSTITUTE(SUBSTITUTE(LOWER(INDEX(heroes[Talent],MATCH(pictures.concat[[#This Row],[Hero]],heroes[Hero],0)))," ",""),"'",""),"empty")</f>
        <v>talent1.enlighten</v>
      </c>
      <c r="E63" t="str">
        <f>+"talent2."&amp;_xlfn.IFNA(SUBSTITUTE(LOWER(INDEX(pictures.talent2[Hero],MATCH(pictures.concat[[#This Row],[Hero]],pictures.talent2[Hero],0)))," ",""),"empty")</f>
        <v>talent2.empty</v>
      </c>
      <c r="F63" t="str">
        <f>+"crest."&amp;_xlfn.IFNA(IF(INDEX(heroes[Crest Set],MATCH(pictures.concat[[#This Row],[Hero]],heroes[Hero],0))="","empty",SUBSTITUTE(LOWER(INDEX(heroes[Crest Set],MATCH(pictures.concat[[#This Row],[Hero]],heroes[Hero],0)))," ","")),"empty")</f>
        <v>crest.empty</v>
      </c>
      <c r="H63" t="s">
        <v>167</v>
      </c>
      <c r="I63" t="str">
        <f>+"concat."&amp;SUBSTITUTE(SUBSTITUTE(LOWER(pictures.concat[[#This Row],[Hero]])," ",""),"-","")&amp;"."</f>
        <v>concat.warlock.</v>
      </c>
      <c r="J63">
        <v>1</v>
      </c>
      <c r="K63">
        <v>2</v>
      </c>
      <c r="L63">
        <v>3</v>
      </c>
      <c r="M63">
        <v>4</v>
      </c>
      <c r="N63">
        <v>5</v>
      </c>
      <c r="O63" t="s">
        <v>184</v>
      </c>
      <c r="P63" t="s">
        <v>174</v>
      </c>
      <c r="Q63" t="s">
        <v>175</v>
      </c>
      <c r="R63" t="s">
        <v>176</v>
      </c>
      <c r="S63" t="s">
        <v>182</v>
      </c>
      <c r="T63" t="s">
        <v>183</v>
      </c>
      <c r="U63" t="s">
        <v>177</v>
      </c>
      <c r="V63">
        <f>+ROW(pictures.concat[[#This Row],[Hero]])</f>
        <v>63</v>
      </c>
      <c r="W63" t="s">
        <v>185</v>
      </c>
      <c r="X63" t="str">
        <f t="shared" si="0"/>
        <v>&lt;definedName name="concat.warlock.1"&gt;INDIRECT('pictures'!$B$63)&lt;/definedName&gt;</v>
      </c>
      <c r="Y63" s="124" t="str">
        <f t="shared" si="1"/>
        <v>&lt;definedName name="concat.warlock.2"&gt;INDIRECT('pictures'!$C$63)&lt;/definedName&gt;</v>
      </c>
      <c r="Z63" s="124" t="str">
        <f t="shared" si="2"/>
        <v>&lt;definedName name="concat.warlock.3"&gt;INDIRECT('pictures'!$D$63)&lt;/definedName&gt;</v>
      </c>
      <c r="AA63" s="124" t="str">
        <f t="shared" si="3"/>
        <v>&lt;definedName name="concat.warlock.4"&gt;INDIRECT('pictures'!$E$63)&lt;/definedName&gt;</v>
      </c>
      <c r="AB63" s="124" t="str">
        <f t="shared" si="4"/>
        <v>&lt;definedName name="concat.warlock.5"&gt;INDIRECT('pictures'!$F$63)&lt;/definedName&gt;</v>
      </c>
      <c r="AC63" s="123"/>
      <c r="AD63" s="123"/>
      <c r="AE63" s="123"/>
      <c r="AF63" s="123"/>
      <c r="AG63" s="123"/>
    </row>
    <row r="64" spans="1:33" x14ac:dyDescent="0.25">
      <c r="A64" t="s">
        <v>94</v>
      </c>
      <c r="B6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hero.werewolf.stage1</v>
      </c>
      <c r="C64" t="str">
        <f>+"skill."&amp;SUBSTITUTE(SUBSTITUTE(LOWER(pictures.concat[[#This Row],[Hero]])," ",""),"-","")</f>
        <v>skill.werewolf</v>
      </c>
      <c r="D64" t="str">
        <f>+"talent1."&amp;_xlfn.IFNA(SUBSTITUTE(SUBSTITUTE(LOWER(INDEX(heroes[Talent],MATCH(pictures.concat[[#This Row],[Hero]],heroes[Hero],0)))," ",""),"'",""),"empty")</f>
        <v>talent1.berserk</v>
      </c>
      <c r="E64" t="str">
        <f>+"talent2."&amp;_xlfn.IFNA(SUBSTITUTE(LOWER(INDEX(pictures.talent2[Hero],MATCH(pictures.concat[[#This Row],[Hero]],pictures.talent2[Hero],0)))," ",""),"empty")</f>
        <v>talent2.empty</v>
      </c>
      <c r="F64" t="str">
        <f>+"crest."&amp;_xlfn.IFNA(IF(INDEX(heroes[Crest Set],MATCH(pictures.concat[[#This Row],[Hero]],heroes[Hero],0))="","empty",SUBSTITUTE(LOWER(INDEX(heroes[Crest Set],MATCH(pictures.concat[[#This Row],[Hero]],heroes[Hero],0)))," ","")),"empty")</f>
        <v>crest.empty</v>
      </c>
    </row>
    <row r="65" spans="1:6" x14ac:dyDescent="0.25">
      <c r="A65" t="s">
        <v>197</v>
      </c>
      <c r="B65"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hero.team1.stage0</v>
      </c>
      <c r="C65" s="124" t="str">
        <f>+"skill."&amp;SUBSTITUTE(SUBSTITUTE(LOWER(pictures.concat[[#This Row],[Hero]])," ",""),"-","")</f>
        <v>skill.team1</v>
      </c>
      <c r="D65" s="124" t="str">
        <f>+"talent1."&amp;_xlfn.IFNA(SUBSTITUTE(SUBSTITUTE(LOWER(INDEX(heroes[Talent],MATCH(pictures.concat[[#This Row],[Hero]],heroes[Hero],0)))," ",""),"'",""),"empty")</f>
        <v>talent1.empty</v>
      </c>
      <c r="E65" s="124" t="str">
        <f>+"talent2."&amp;_xlfn.IFNA(SUBSTITUTE(LOWER(INDEX(pictures.talent2[Hero],MATCH(pictures.concat[[#This Row],[Hero]],pictures.talent2[Hero],0)))," ",""),"empty")</f>
        <v>talent2.empty</v>
      </c>
      <c r="F65" s="124" t="str">
        <f>+"crest."&amp;_xlfn.IFNA(IF(INDEX(heroes[Crest Set],MATCH(pictures.concat[[#This Row],[Hero]],heroes[Hero],0))="","empty",SUBSTITUTE(LOWER(INDEX(heroes[Crest Set],MATCH(pictures.concat[[#This Row],[Hero]],heroes[Hero],0)))," ","")),"empty")</f>
        <v>crest.empty</v>
      </c>
    </row>
    <row r="66" spans="1:6" x14ac:dyDescent="0.25">
      <c r="A66" t="s">
        <v>198</v>
      </c>
      <c r="B66"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hero.team2.stage0</v>
      </c>
      <c r="C66" s="124" t="str">
        <f>+"skill."&amp;SUBSTITUTE(SUBSTITUTE(LOWER(pictures.concat[[#This Row],[Hero]])," ",""),"-","")</f>
        <v>skill.team2</v>
      </c>
      <c r="D66" s="124" t="str">
        <f>+"talent1."&amp;_xlfn.IFNA(SUBSTITUTE(SUBSTITUTE(LOWER(INDEX(heroes[Talent],MATCH(pictures.concat[[#This Row],[Hero]],heroes[Hero],0)))," ",""),"'",""),"empty")</f>
        <v>talent1.empty</v>
      </c>
      <c r="E66" s="124" t="str">
        <f>+"talent2."&amp;_xlfn.IFNA(SUBSTITUTE(LOWER(INDEX(pictures.talent2[Hero],MATCH(pictures.concat[[#This Row],[Hero]],pictures.talent2[Hero],0)))," ",""),"empty")</f>
        <v>talent2.empty</v>
      </c>
      <c r="F66" s="124" t="str">
        <f>+"crest."&amp;_xlfn.IFNA(IF(INDEX(heroes[Crest Set],MATCH(pictures.concat[[#This Row],[Hero]],heroes[Hero],0))="","empty",SUBSTITUTE(LOWER(INDEX(heroes[Crest Set],MATCH(pictures.concat[[#This Row],[Hero]],heroes[Hero],0)))," ","")),"empty")</f>
        <v>crest.empty</v>
      </c>
    </row>
    <row r="67" spans="1:6" x14ac:dyDescent="0.25">
      <c r="A67" t="s">
        <v>199</v>
      </c>
      <c r="B67"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hero.team3.stage0</v>
      </c>
      <c r="C67" s="124" t="str">
        <f>+"skill."&amp;SUBSTITUTE(SUBSTITUTE(LOWER(pictures.concat[[#This Row],[Hero]])," ",""),"-","")</f>
        <v>skill.team3</v>
      </c>
      <c r="D67" s="124" t="str">
        <f>+"talent1."&amp;_xlfn.IFNA(SUBSTITUTE(SUBSTITUTE(LOWER(INDEX(heroes[Talent],MATCH(pictures.concat[[#This Row],[Hero]],heroes[Hero],0)))," ",""),"'",""),"empty")</f>
        <v>talent1.empty</v>
      </c>
      <c r="E67" s="124" t="str">
        <f>+"talent2."&amp;_xlfn.IFNA(SUBSTITUTE(LOWER(INDEX(pictures.talent2[Hero],MATCH(pictures.concat[[#This Row],[Hero]],pictures.talent2[Hero],0)))," ",""),"empty")</f>
        <v>talent2.empty</v>
      </c>
      <c r="F67" s="124" t="str">
        <f>+"crest."&amp;_xlfn.IFNA(IF(INDEX(heroes[Crest Set],MATCH(pictures.concat[[#This Row],[Hero]],heroes[Hero],0))="","empty",SUBSTITUTE(LOWER(INDEX(heroes[Crest Set],MATCH(pictures.concat[[#This Row],[Hero]],heroes[Hero],0)))," ","")),"empty")</f>
        <v>crest.empty</v>
      </c>
    </row>
    <row r="68" spans="1:6" x14ac:dyDescent="0.25">
      <c r="A68" t="s">
        <v>200</v>
      </c>
      <c r="B68"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hero.team4.stage0</v>
      </c>
      <c r="C68" s="124" t="str">
        <f>+"skill."&amp;SUBSTITUTE(SUBSTITUTE(LOWER(pictures.concat[[#This Row],[Hero]])," ",""),"-","")</f>
        <v>skill.team4</v>
      </c>
      <c r="D68" s="124" t="str">
        <f>+"talent1."&amp;_xlfn.IFNA(SUBSTITUTE(SUBSTITUTE(LOWER(INDEX(heroes[Talent],MATCH(pictures.concat[[#This Row],[Hero]],heroes[Hero],0)))," ",""),"'",""),"empty")</f>
        <v>talent1.empty</v>
      </c>
      <c r="E68" s="124" t="str">
        <f>+"talent2."&amp;_xlfn.IFNA(SUBSTITUTE(LOWER(INDEX(pictures.talent2[Hero],MATCH(pictures.concat[[#This Row],[Hero]],pictures.talent2[Hero],0)))," ",""),"empty")</f>
        <v>talent2.empty</v>
      </c>
      <c r="F68" s="124" t="str">
        <f>+"crest."&amp;_xlfn.IFNA(IF(INDEX(heroes[Crest Set],MATCH(pictures.concat[[#This Row],[Hero]],heroes[Hero],0))="","empty",SUBSTITUTE(LOWER(INDEX(heroes[Crest Set],MATCH(pictures.concat[[#This Row],[Hero]],heroes[Hero],0)))," ","")),"empty")</f>
        <v>crest.empty</v>
      </c>
    </row>
    <row r="69" spans="1:6" x14ac:dyDescent="0.25">
      <c r="A69" t="s">
        <v>201</v>
      </c>
      <c r="B69"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hero.team5.stage0</v>
      </c>
      <c r="C69" s="124" t="str">
        <f>+"skill."&amp;SUBSTITUTE(SUBSTITUTE(LOWER(pictures.concat[[#This Row],[Hero]])," ",""),"-","")</f>
        <v>skill.team5</v>
      </c>
      <c r="D69" s="124" t="str">
        <f>+"talent1."&amp;_xlfn.IFNA(SUBSTITUTE(SUBSTITUTE(LOWER(INDEX(heroes[Talent],MATCH(pictures.concat[[#This Row],[Hero]],heroes[Hero],0)))," ",""),"'",""),"empty")</f>
        <v>talent1.empty</v>
      </c>
      <c r="E69" s="124" t="str">
        <f>+"talent2."&amp;_xlfn.IFNA(SUBSTITUTE(LOWER(INDEX(pictures.talent2[Hero],MATCH(pictures.concat[[#This Row],[Hero]],pictures.talent2[Hero],0)))," ",""),"empty")</f>
        <v>talent2.empty</v>
      </c>
      <c r="F69" s="124" t="str">
        <f>+"crest."&amp;_xlfn.IFNA(IF(INDEX(heroes[Crest Set],MATCH(pictures.concat[[#This Row],[Hero]],heroes[Hero],0))="","empty",SUBSTITUTE(LOWER(INDEX(heroes[Crest Set],MATCH(pictures.concat[[#This Row],[Hero]],heroes[Hero],0)))," ","")),"empty")</f>
        <v>crest.empty</v>
      </c>
    </row>
    <row r="70" spans="1:6" x14ac:dyDescent="0.25">
      <c r="A70" t="s">
        <v>202</v>
      </c>
      <c r="B70" s="124" t="str">
        <f>+"hero."&amp;_xlfn.IFNA(IF(INDEX(heroes[Evo?],MATCH(pictures.concat[[#This Row],[Hero]],heroes[Hero],0))="No",SUBSTITUTE(SUBSTITUTE(LOWER(pictures.concat[[#This Row],[Hero]])," ",""),"-","")&amp;".stage1",IF(INDEX(heroes[Evo?],MATCH(pictures.concat[[#This Row],[Hero]],heroes[Hero],0))="Evo",SUBSTITUTE(SUBSTITUTE(LOWER(pictures.concat[[#This Row],[Hero]])," ",""),"-","")&amp;".stage2",SUBSTITUTE(SUBSTITUTE(LOWER(pictures.concat[[#This Row],[Hero]])," ",""),"-","")&amp;".stage2")),SUBSTITUTE(SUBSTITUTE(LOWER(pictures.concat[[#This Row],[Hero]])," ",""),"-","")&amp;".stage0")</f>
        <v>hero.team6.stage0</v>
      </c>
      <c r="C70" s="124" t="str">
        <f>+"skill."&amp;SUBSTITUTE(SUBSTITUTE(LOWER(pictures.concat[[#This Row],[Hero]])," ",""),"-","")</f>
        <v>skill.team6</v>
      </c>
      <c r="D70" s="124" t="str">
        <f>+"talent1."&amp;_xlfn.IFNA(SUBSTITUTE(SUBSTITUTE(LOWER(INDEX(heroes[Talent],MATCH(pictures.concat[[#This Row],[Hero]],heroes[Hero],0)))," ",""),"'",""),"empty")</f>
        <v>talent1.empty</v>
      </c>
      <c r="E70" s="124" t="str">
        <f>+"talent2."&amp;_xlfn.IFNA(SUBSTITUTE(LOWER(INDEX(pictures.talent2[Hero],MATCH(pictures.concat[[#This Row],[Hero]],pictures.talent2[Hero],0)))," ",""),"empty")</f>
        <v>talent2.empty</v>
      </c>
      <c r="F70" s="124" t="str">
        <f>+"crest."&amp;_xlfn.IFNA(IF(INDEX(heroes[Crest Set],MATCH(pictures.concat[[#This Row],[Hero]],heroes[Hero],0))="","empty",SUBSTITUTE(LOWER(INDEX(heroes[Crest Set],MATCH(pictures.concat[[#This Row],[Hero]],heroes[Hero],0)))," ","")),"empty")</f>
        <v>crest.empty</v>
      </c>
    </row>
  </sheetData>
  <sortState ref="AJ66:AJ370">
    <sortCondition ref="AJ66"/>
  </sortState>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19"/>
  <sheetViews>
    <sheetView workbookViewId="0"/>
  </sheetViews>
  <sheetFormatPr defaultRowHeight="15" x14ac:dyDescent="0.25"/>
  <cols>
    <col min="1" max="1" width="12.7109375" bestFit="1" customWidth="1"/>
  </cols>
  <sheetData>
    <row r="1" spans="1:6" x14ac:dyDescent="0.25">
      <c r="A1" t="s">
        <v>95</v>
      </c>
      <c r="B1" t="s">
        <v>96</v>
      </c>
      <c r="C1" t="s">
        <v>97</v>
      </c>
      <c r="D1" t="s">
        <v>98</v>
      </c>
      <c r="E1" t="s">
        <v>99</v>
      </c>
      <c r="F1" t="s">
        <v>100</v>
      </c>
    </row>
    <row r="2" spans="1:6" x14ac:dyDescent="0.25">
      <c r="A2" t="s">
        <v>38</v>
      </c>
      <c r="B2">
        <f>+COUNTIFS(heroes[Crest Set],crests.sets[[#This Row],[Crest]],heroes[Crest Level],crests.sets[[#Headers],[1]])</f>
        <v>0</v>
      </c>
      <c r="C2">
        <f>+COUNTIFS(heroes[Crest Set],crests.sets[[#This Row],[Crest]],heroes[Crest Level],crests.sets[[#Headers],[2]])</f>
        <v>1</v>
      </c>
      <c r="D2">
        <f>+COUNTIFS(heroes[Crest Set],crests.sets[[#This Row],[Crest]],heroes[Crest Level],crests.sets[[#Headers],[3]])</f>
        <v>2</v>
      </c>
      <c r="E2">
        <f>+COUNTIFS(heroes[Crest Set],crests.sets[[#This Row],[Crest]],heroes[Crest Level],crests.sets[[#Headers],[4]])</f>
        <v>1</v>
      </c>
      <c r="F2">
        <f>+COUNTIFS(heroes[Crest Set],crests.sets[[#This Row],[Crest]],heroes[Crest Level],crests.sets[[#Headers],[5]])</f>
        <v>0</v>
      </c>
    </row>
    <row r="3" spans="1:6" x14ac:dyDescent="0.25">
      <c r="A3" t="s">
        <v>30</v>
      </c>
      <c r="B3">
        <f>+COUNTIFS(heroes[Crest Set],crests.sets[[#This Row],[Crest]],heroes[Crest Level],crests.sets[[#Headers],[1]])</f>
        <v>0</v>
      </c>
      <c r="C3">
        <f>+COUNTIFS(heroes[Crest Set],crests.sets[[#This Row],[Crest]],heroes[Crest Level],crests.sets[[#Headers],[2]])</f>
        <v>0</v>
      </c>
      <c r="D3">
        <f>+COUNTIFS(heroes[Crest Set],crests.sets[[#This Row],[Crest]],heroes[Crest Level],crests.sets[[#Headers],[3]])</f>
        <v>1</v>
      </c>
      <c r="E3">
        <f>+COUNTIFS(heroes[Crest Set],crests.sets[[#This Row],[Crest]],heroes[Crest Level],crests.sets[[#Headers],[4]])</f>
        <v>0</v>
      </c>
      <c r="F3">
        <f>+COUNTIFS(heroes[Crest Set],crests.sets[[#This Row],[Crest]],heroes[Crest Level],crests.sets[[#Headers],[5]])</f>
        <v>0</v>
      </c>
    </row>
    <row r="4" spans="1:6" x14ac:dyDescent="0.25">
      <c r="A4" t="s">
        <v>36</v>
      </c>
      <c r="B4">
        <f>+COUNTIFS(heroes[Crest Set],crests.sets[[#This Row],[Crest]],heroes[Crest Level],crests.sets[[#Headers],[1]])</f>
        <v>0</v>
      </c>
      <c r="C4">
        <f>+COUNTIFS(heroes[Crest Set],crests.sets[[#This Row],[Crest]],heroes[Crest Level],crests.sets[[#Headers],[2]])</f>
        <v>0</v>
      </c>
      <c r="D4">
        <f>+COUNTIFS(heroes[Crest Set],crests.sets[[#This Row],[Crest]],heroes[Crest Level],crests.sets[[#Headers],[3]])</f>
        <v>1</v>
      </c>
      <c r="E4">
        <f>+COUNTIFS(heroes[Crest Set],crests.sets[[#This Row],[Crest]],heroes[Crest Level],crests.sets[[#Headers],[4]])</f>
        <v>1</v>
      </c>
      <c r="F4">
        <f>+COUNTIFS(heroes[Crest Set],crests.sets[[#This Row],[Crest]],heroes[Crest Level],crests.sets[[#Headers],[5]])</f>
        <v>0</v>
      </c>
    </row>
    <row r="5" spans="1:6" x14ac:dyDescent="0.25">
      <c r="A5" t="s">
        <v>42</v>
      </c>
      <c r="B5">
        <f>+COUNTIFS(heroes[Crest Set],crests.sets[[#This Row],[Crest]],heroes[Crest Level],crests.sets[[#Headers],[1]])</f>
        <v>0</v>
      </c>
      <c r="C5">
        <f>+COUNTIFS(heroes[Crest Set],crests.sets[[#This Row],[Crest]],heroes[Crest Level],crests.sets[[#Headers],[2]])</f>
        <v>0</v>
      </c>
      <c r="D5">
        <f>+COUNTIFS(heroes[Crest Set],crests.sets[[#This Row],[Crest]],heroes[Crest Level],crests.sets[[#Headers],[3]])</f>
        <v>0</v>
      </c>
      <c r="E5">
        <f>+COUNTIFS(heroes[Crest Set],crests.sets[[#This Row],[Crest]],heroes[Crest Level],crests.sets[[#Headers],[4]])</f>
        <v>0</v>
      </c>
      <c r="F5">
        <f>+COUNTIFS(heroes[Crest Set],crests.sets[[#This Row],[Crest]],heroes[Crest Level],crests.sets[[#Headers],[5]])</f>
        <v>0</v>
      </c>
    </row>
    <row r="6" spans="1:6" x14ac:dyDescent="0.25">
      <c r="A6" t="s">
        <v>44</v>
      </c>
      <c r="B6">
        <f>+COUNTIFS(heroes[Crest Set],crests.sets[[#This Row],[Crest]],heroes[Crest Level],crests.sets[[#Headers],[1]])</f>
        <v>0</v>
      </c>
      <c r="C6">
        <f>+COUNTIFS(heroes[Crest Set],crests.sets[[#This Row],[Crest]],heroes[Crest Level],crests.sets[[#Headers],[2]])</f>
        <v>0</v>
      </c>
      <c r="D6">
        <f>+COUNTIFS(heroes[Crest Set],crests.sets[[#This Row],[Crest]],heroes[Crest Level],crests.sets[[#Headers],[3]])</f>
        <v>0</v>
      </c>
      <c r="E6">
        <f>+COUNTIFS(heroes[Crest Set],crests.sets[[#This Row],[Crest]],heroes[Crest Level],crests.sets[[#Headers],[4]])</f>
        <v>0</v>
      </c>
      <c r="F6">
        <f>+COUNTIFS(heroes[Crest Set],crests.sets[[#This Row],[Crest]],heroes[Crest Level],crests.sets[[#Headers],[5]])</f>
        <v>0</v>
      </c>
    </row>
    <row r="7" spans="1:6" x14ac:dyDescent="0.25">
      <c r="A7" t="s">
        <v>22</v>
      </c>
      <c r="B7">
        <f>+COUNTIFS(heroes[Crest Set],crests.sets[[#This Row],[Crest]],heroes[Crest Level],crests.sets[[#Headers],[1]])</f>
        <v>0</v>
      </c>
      <c r="C7">
        <f>+COUNTIFS(heroes[Crest Set],crests.sets[[#This Row],[Crest]],heroes[Crest Level],crests.sets[[#Headers],[2]])</f>
        <v>0</v>
      </c>
      <c r="D7">
        <f>+COUNTIFS(heroes[Crest Set],crests.sets[[#This Row],[Crest]],heroes[Crest Level],crests.sets[[#Headers],[3]])</f>
        <v>2</v>
      </c>
      <c r="E7">
        <f>+COUNTIFS(heroes[Crest Set],crests.sets[[#This Row],[Crest]],heroes[Crest Level],crests.sets[[#Headers],[4]])</f>
        <v>0</v>
      </c>
      <c r="F7">
        <f>+COUNTIFS(heroes[Crest Set],crests.sets[[#This Row],[Crest]],heroes[Crest Level],crests.sets[[#Headers],[5]])</f>
        <v>0</v>
      </c>
    </row>
    <row r="8" spans="1:6" x14ac:dyDescent="0.25">
      <c r="A8" t="s">
        <v>26</v>
      </c>
      <c r="B8">
        <f>+COUNTIFS(heroes[Crest Set],crests.sets[[#This Row],[Crest]],heroes[Crest Level],crests.sets[[#Headers],[1]])</f>
        <v>0</v>
      </c>
      <c r="C8">
        <f>+COUNTIFS(heroes[Crest Set],crests.sets[[#This Row],[Crest]],heroes[Crest Level],crests.sets[[#Headers],[2]])</f>
        <v>0</v>
      </c>
      <c r="D8">
        <f>+COUNTIFS(heroes[Crest Set],crests.sets[[#This Row],[Crest]],heroes[Crest Level],crests.sets[[#Headers],[3]])</f>
        <v>0</v>
      </c>
      <c r="E8">
        <f>+COUNTIFS(heroes[Crest Set],crests.sets[[#This Row],[Crest]],heroes[Crest Level],crests.sets[[#Headers],[4]])</f>
        <v>0</v>
      </c>
      <c r="F8">
        <f>+COUNTIFS(heroes[Crest Set],crests.sets[[#This Row],[Crest]],heroes[Crest Level],crests.sets[[#Headers],[5]])</f>
        <v>0</v>
      </c>
    </row>
    <row r="9" spans="1:6" x14ac:dyDescent="0.25">
      <c r="A9" t="s">
        <v>13</v>
      </c>
      <c r="B9">
        <f>+COUNTIFS(heroes[Crest Set],crests.sets[[#This Row],[Crest]],heroes[Crest Level],crests.sets[[#Headers],[1]])</f>
        <v>0</v>
      </c>
      <c r="C9">
        <f>+COUNTIFS(heroes[Crest Set],crests.sets[[#This Row],[Crest]],heroes[Crest Level],crests.sets[[#Headers],[2]])</f>
        <v>0</v>
      </c>
      <c r="D9">
        <f>+COUNTIFS(heroes[Crest Set],crests.sets[[#This Row],[Crest]],heroes[Crest Level],crests.sets[[#Headers],[3]])</f>
        <v>1</v>
      </c>
      <c r="E9">
        <f>+COUNTIFS(heroes[Crest Set],crests.sets[[#This Row],[Crest]],heroes[Crest Level],crests.sets[[#Headers],[4]])</f>
        <v>0</v>
      </c>
      <c r="F9">
        <f>+COUNTIFS(heroes[Crest Set],crests.sets[[#This Row],[Crest]],heroes[Crest Level],crests.sets[[#Headers],[5]])</f>
        <v>0</v>
      </c>
    </row>
    <row r="10" spans="1:6" x14ac:dyDescent="0.25">
      <c r="A10" t="s">
        <v>40</v>
      </c>
      <c r="B10">
        <f>+COUNTIFS(heroes[Crest Set],crests.sets[[#This Row],[Crest]],heroes[Crest Level],crests.sets[[#Headers],[1]])</f>
        <v>0</v>
      </c>
      <c r="C10">
        <f>+COUNTIFS(heroes[Crest Set],crests.sets[[#This Row],[Crest]],heroes[Crest Level],crests.sets[[#Headers],[2]])</f>
        <v>0</v>
      </c>
      <c r="D10">
        <f>+COUNTIFS(heroes[Crest Set],crests.sets[[#This Row],[Crest]],heroes[Crest Level],crests.sets[[#Headers],[3]])</f>
        <v>1</v>
      </c>
      <c r="E10">
        <f>+COUNTIFS(heroes[Crest Set],crests.sets[[#This Row],[Crest]],heroes[Crest Level],crests.sets[[#Headers],[4]])</f>
        <v>1</v>
      </c>
      <c r="F10">
        <f>+COUNTIFS(heroes[Crest Set],crests.sets[[#This Row],[Crest]],heroes[Crest Level],crests.sets[[#Headers],[5]])</f>
        <v>0</v>
      </c>
    </row>
    <row r="11" spans="1:6" x14ac:dyDescent="0.25">
      <c r="A11" t="s">
        <v>46</v>
      </c>
      <c r="B11">
        <f>+COUNTIFS(heroes[Crest Set],crests.sets[[#This Row],[Crest]],heroes[Crest Level],crests.sets[[#Headers],[1]])</f>
        <v>0</v>
      </c>
      <c r="C11">
        <f>+COUNTIFS(heroes[Crest Set],crests.sets[[#This Row],[Crest]],heroes[Crest Level],crests.sets[[#Headers],[2]])</f>
        <v>1</v>
      </c>
      <c r="D11">
        <f>+COUNTIFS(heroes[Crest Set],crests.sets[[#This Row],[Crest]],heroes[Crest Level],crests.sets[[#Headers],[3]])</f>
        <v>1</v>
      </c>
      <c r="E11">
        <f>+COUNTIFS(heroes[Crest Set],crests.sets[[#This Row],[Crest]],heroes[Crest Level],crests.sets[[#Headers],[4]])</f>
        <v>1</v>
      </c>
      <c r="F11">
        <f>+COUNTIFS(heroes[Crest Set],crests.sets[[#This Row],[Crest]],heroes[Crest Level],crests.sets[[#Headers],[5]])</f>
        <v>0</v>
      </c>
    </row>
    <row r="12" spans="1:6" x14ac:dyDescent="0.25">
      <c r="A12" t="s">
        <v>48</v>
      </c>
      <c r="B12">
        <f>+COUNTIFS(heroes[Crest Set],crests.sets[[#This Row],[Crest]],heroes[Crest Level],crests.sets[[#Headers],[1]])</f>
        <v>0</v>
      </c>
      <c r="C12">
        <f>+COUNTIFS(heroes[Crest Set],crests.sets[[#This Row],[Crest]],heroes[Crest Level],crests.sets[[#Headers],[2]])</f>
        <v>0</v>
      </c>
      <c r="D12">
        <f>+COUNTIFS(heroes[Crest Set],crests.sets[[#This Row],[Crest]],heroes[Crest Level],crests.sets[[#Headers],[3]])</f>
        <v>0</v>
      </c>
      <c r="E12">
        <f>+COUNTIFS(heroes[Crest Set],crests.sets[[#This Row],[Crest]],heroes[Crest Level],crests.sets[[#Headers],[4]])</f>
        <v>1</v>
      </c>
      <c r="F12">
        <f>+COUNTIFS(heroes[Crest Set],crests.sets[[#This Row],[Crest]],heroes[Crest Level],crests.sets[[#Headers],[5]])</f>
        <v>0</v>
      </c>
    </row>
    <row r="13" spans="1:6" x14ac:dyDescent="0.25">
      <c r="A13" t="s">
        <v>8</v>
      </c>
      <c r="B13">
        <f>+COUNTIFS(heroes[Crest Set],crests.sets[[#This Row],[Crest]],heroes[Crest Level],crests.sets[[#Headers],[1]])</f>
        <v>0</v>
      </c>
      <c r="C13">
        <f>+COUNTIFS(heroes[Crest Set],crests.sets[[#This Row],[Crest]],heroes[Crest Level],crests.sets[[#Headers],[2]])</f>
        <v>0</v>
      </c>
      <c r="D13">
        <f>+COUNTIFS(heroes[Crest Set],crests.sets[[#This Row],[Crest]],heroes[Crest Level],crests.sets[[#Headers],[3]])</f>
        <v>0</v>
      </c>
      <c r="E13">
        <f>+COUNTIFS(heroes[Crest Set],crests.sets[[#This Row],[Crest]],heroes[Crest Level],crests.sets[[#Headers],[4]])</f>
        <v>1</v>
      </c>
      <c r="F13">
        <f>+COUNTIFS(heroes[Crest Set],crests.sets[[#This Row],[Crest]],heroes[Crest Level],crests.sets[[#Headers],[5]])</f>
        <v>0</v>
      </c>
    </row>
    <row r="14" spans="1:6" x14ac:dyDescent="0.25">
      <c r="A14" t="s">
        <v>50</v>
      </c>
      <c r="B14">
        <f>+COUNTIFS(heroes[Crest Set],crests.sets[[#This Row],[Crest]],heroes[Crest Level],crests.sets[[#Headers],[1]])</f>
        <v>0</v>
      </c>
      <c r="C14">
        <f>+COUNTIFS(heroes[Crest Set],crests.sets[[#This Row],[Crest]],heroes[Crest Level],crests.sets[[#Headers],[2]])</f>
        <v>2</v>
      </c>
      <c r="D14">
        <f>+COUNTIFS(heroes[Crest Set],crests.sets[[#This Row],[Crest]],heroes[Crest Level],crests.sets[[#Headers],[3]])</f>
        <v>0</v>
      </c>
      <c r="E14">
        <f>+COUNTIFS(heroes[Crest Set],crests.sets[[#This Row],[Crest]],heroes[Crest Level],crests.sets[[#Headers],[4]])</f>
        <v>1</v>
      </c>
      <c r="F14">
        <f>+COUNTIFS(heroes[Crest Set],crests.sets[[#This Row],[Crest]],heroes[Crest Level],crests.sets[[#Headers],[5]])</f>
        <v>0</v>
      </c>
    </row>
    <row r="15" spans="1:6" x14ac:dyDescent="0.25">
      <c r="A15" t="s">
        <v>54</v>
      </c>
      <c r="B15">
        <f>+COUNTIFS(heroes[Crest Set],crests.sets[[#This Row],[Crest]],heroes[Crest Level],crests.sets[[#Headers],[1]])</f>
        <v>0</v>
      </c>
      <c r="C15">
        <f>+COUNTIFS(heroes[Crest Set],crests.sets[[#This Row],[Crest]],heroes[Crest Level],crests.sets[[#Headers],[2]])</f>
        <v>0</v>
      </c>
      <c r="D15">
        <f>+COUNTIFS(heroes[Crest Set],crests.sets[[#This Row],[Crest]],heroes[Crest Level],crests.sets[[#Headers],[3]])</f>
        <v>1</v>
      </c>
      <c r="E15">
        <f>+COUNTIFS(heroes[Crest Set],crests.sets[[#This Row],[Crest]],heroes[Crest Level],crests.sets[[#Headers],[4]])</f>
        <v>1</v>
      </c>
      <c r="F15">
        <f>+COUNTIFS(heroes[Crest Set],crests.sets[[#This Row],[Crest]],heroes[Crest Level],crests.sets[[#Headers],[5]])</f>
        <v>0</v>
      </c>
    </row>
    <row r="16" spans="1:6" x14ac:dyDescent="0.25">
      <c r="A16" t="s">
        <v>52</v>
      </c>
      <c r="B16">
        <f>+COUNTIFS(heroes[Crest Set],crests.sets[[#This Row],[Crest]],heroes[Crest Level],crests.sets[[#Headers],[1]])</f>
        <v>0</v>
      </c>
      <c r="C16">
        <f>+COUNTIFS(heroes[Crest Set],crests.sets[[#This Row],[Crest]],heroes[Crest Level],crests.sets[[#Headers],[2]])</f>
        <v>0</v>
      </c>
      <c r="D16">
        <f>+COUNTIFS(heroes[Crest Set],crests.sets[[#This Row],[Crest]],heroes[Crest Level],crests.sets[[#Headers],[3]])</f>
        <v>3</v>
      </c>
      <c r="E16">
        <f>+COUNTIFS(heroes[Crest Set],crests.sets[[#This Row],[Crest]],heroes[Crest Level],crests.sets[[#Headers],[4]])</f>
        <v>1</v>
      </c>
      <c r="F16">
        <f>+COUNTIFS(heroes[Crest Set],crests.sets[[#This Row],[Crest]],heroes[Crest Level],crests.sets[[#Headers],[5]])</f>
        <v>0</v>
      </c>
    </row>
    <row r="17" spans="1:6" x14ac:dyDescent="0.25">
      <c r="A17" t="s">
        <v>32</v>
      </c>
      <c r="B17">
        <f>+COUNTIFS(heroes[Crest Set],crests.sets[[#This Row],[Crest]],heroes[Crest Level],crests.sets[[#Headers],[1]])</f>
        <v>0</v>
      </c>
      <c r="C17">
        <f>+COUNTIFS(heroes[Crest Set],crests.sets[[#This Row],[Crest]],heroes[Crest Level],crests.sets[[#Headers],[2]])</f>
        <v>0</v>
      </c>
      <c r="D17">
        <f>+COUNTIFS(heroes[Crest Set],crests.sets[[#This Row],[Crest]],heroes[Crest Level],crests.sets[[#Headers],[3]])</f>
        <v>0</v>
      </c>
      <c r="E17">
        <f>+COUNTIFS(heroes[Crest Set],crests.sets[[#This Row],[Crest]],heroes[Crest Level],crests.sets[[#Headers],[4]])</f>
        <v>1</v>
      </c>
      <c r="F17">
        <f>+COUNTIFS(heroes[Crest Set],crests.sets[[#This Row],[Crest]],heroes[Crest Level],crests.sets[[#Headers],[5]])</f>
        <v>0</v>
      </c>
    </row>
    <row r="18" spans="1:6" x14ac:dyDescent="0.25">
      <c r="A18" t="s">
        <v>16</v>
      </c>
      <c r="B18">
        <f>+COUNTIFS(heroes[Crest Set],crests.sets[[#This Row],[Crest]],heroes[Crest Level],crests.sets[[#Headers],[1]])</f>
        <v>0</v>
      </c>
      <c r="C18">
        <f>+COUNTIFS(heroes[Crest Set],crests.sets[[#This Row],[Crest]],heroes[Crest Level],crests.sets[[#Headers],[2]])</f>
        <v>0</v>
      </c>
      <c r="D18">
        <f>+COUNTIFS(heroes[Crest Set],crests.sets[[#This Row],[Crest]],heroes[Crest Level],crests.sets[[#Headers],[3]])</f>
        <v>1</v>
      </c>
      <c r="E18">
        <f>+COUNTIFS(heroes[Crest Set],crests.sets[[#This Row],[Crest]],heroes[Crest Level],crests.sets[[#Headers],[4]])</f>
        <v>1</v>
      </c>
      <c r="F18">
        <f>+COUNTIFS(heroes[Crest Set],crests.sets[[#This Row],[Crest]],heroes[Crest Level],crests.sets[[#Headers],[5]])</f>
        <v>0</v>
      </c>
    </row>
    <row r="19" spans="1:6" x14ac:dyDescent="0.25">
      <c r="A19" t="s">
        <v>34</v>
      </c>
      <c r="B19">
        <f>+COUNTIFS(heroes[Crest Set],crests.sets[[#This Row],[Crest]],heroes[Crest Level],crests.sets[[#Headers],[1]])</f>
        <v>1</v>
      </c>
      <c r="C19">
        <f>+COUNTIFS(heroes[Crest Set],crests.sets[[#This Row],[Crest]],heroes[Crest Level],crests.sets[[#Headers],[2]])</f>
        <v>0</v>
      </c>
      <c r="D19">
        <f>+COUNTIFS(heroes[Crest Set],crests.sets[[#This Row],[Crest]],heroes[Crest Level],crests.sets[[#Headers],[3]])</f>
        <v>0</v>
      </c>
      <c r="E19">
        <f>+COUNTIFS(heroes[Crest Set],crests.sets[[#This Row],[Crest]],heroes[Crest Level],crests.sets[[#Headers],[4]])</f>
        <v>0</v>
      </c>
      <c r="F19">
        <f>+COUNTIFS(heroes[Crest Set],crests.sets[[#This Row],[Crest]],heroes[Crest Level],crests.sets[[#Headers],[5]])</f>
        <v>0</v>
      </c>
    </row>
  </sheetData>
  <conditionalFormatting sqref="B2:F19">
    <cfRule type="colorScale" priority="1">
      <colorScale>
        <cfvo type="min"/>
        <cfvo type="max"/>
        <color rgb="FFFCFCFF"/>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84"/>
  <sheetViews>
    <sheetView workbookViewId="0"/>
  </sheetViews>
  <sheetFormatPr defaultRowHeight="15" x14ac:dyDescent="0.25"/>
  <cols>
    <col min="2" max="2" width="3.7109375" customWidth="1"/>
    <col min="3" max="5" width="9.140625" customWidth="1"/>
    <col min="12" max="12" width="3.7109375" customWidth="1"/>
  </cols>
  <sheetData>
    <row r="2" spans="2:12" x14ac:dyDescent="0.25">
      <c r="B2" s="101"/>
      <c r="C2" s="102"/>
      <c r="D2" s="102"/>
      <c r="E2" s="102"/>
      <c r="F2" s="102"/>
      <c r="G2" s="102"/>
      <c r="H2" s="102"/>
      <c r="I2" s="102"/>
      <c r="J2" s="102"/>
      <c r="K2" s="102"/>
      <c r="L2" s="103"/>
    </row>
    <row r="3" spans="2:12" ht="24.75" x14ac:dyDescent="0.3">
      <c r="B3" s="106"/>
      <c r="C3" s="263" t="s">
        <v>123</v>
      </c>
      <c r="D3" s="263"/>
      <c r="E3" s="263"/>
      <c r="F3" s="263"/>
      <c r="G3" s="263"/>
      <c r="H3" s="263"/>
      <c r="I3" s="263"/>
      <c r="J3" s="263"/>
      <c r="K3" s="263"/>
      <c r="L3" s="105"/>
    </row>
    <row r="4" spans="2:12" ht="7.5" customHeight="1" x14ac:dyDescent="0.25">
      <c r="B4" s="106"/>
      <c r="C4" s="88"/>
      <c r="D4" s="88"/>
      <c r="E4" s="88"/>
      <c r="F4" s="88"/>
      <c r="G4" s="88"/>
      <c r="H4" s="88"/>
      <c r="I4" s="88"/>
      <c r="J4" s="88"/>
      <c r="K4" s="88"/>
      <c r="L4" s="105"/>
    </row>
    <row r="5" spans="2:12" s="83" customFormat="1" ht="30" customHeight="1" x14ac:dyDescent="0.25">
      <c r="B5" s="112"/>
      <c r="C5" s="262" t="s">
        <v>124</v>
      </c>
      <c r="D5" s="262"/>
      <c r="E5" s="262"/>
      <c r="F5" s="262"/>
      <c r="G5" s="262"/>
      <c r="H5" s="262"/>
      <c r="I5" s="262"/>
      <c r="J5" s="262"/>
      <c r="K5" s="262"/>
      <c r="L5" s="113"/>
    </row>
    <row r="6" spans="2:12" x14ac:dyDescent="0.25">
      <c r="B6" s="106"/>
      <c r="C6" s="88"/>
      <c r="D6" s="88"/>
      <c r="E6" s="88"/>
      <c r="F6" s="88"/>
      <c r="G6" s="88"/>
      <c r="H6" s="88"/>
      <c r="I6" s="88"/>
      <c r="J6" s="88"/>
      <c r="K6" s="88"/>
      <c r="L6" s="105"/>
    </row>
    <row r="7" spans="2:12" ht="7.5" customHeight="1" x14ac:dyDescent="0.25">
      <c r="B7" s="106"/>
      <c r="C7" s="88"/>
      <c r="D7" s="88"/>
      <c r="E7" s="88"/>
      <c r="F7" s="88"/>
      <c r="G7" s="88"/>
      <c r="H7" s="88"/>
      <c r="I7" s="88"/>
      <c r="J7" s="88"/>
      <c r="K7" s="88"/>
      <c r="L7" s="105"/>
    </row>
    <row r="8" spans="2:12" ht="18" x14ac:dyDescent="0.25">
      <c r="B8" s="106"/>
      <c r="C8" s="107" t="s">
        <v>126</v>
      </c>
      <c r="D8" s="107"/>
      <c r="E8" s="88"/>
      <c r="F8" s="88"/>
      <c r="G8" s="88"/>
      <c r="H8" s="88"/>
      <c r="I8" s="88"/>
      <c r="J8" s="88"/>
      <c r="K8" s="88"/>
      <c r="L8" s="105"/>
    </row>
    <row r="9" spans="2:12" ht="30" customHeight="1" x14ac:dyDescent="0.25">
      <c r="B9" s="106"/>
      <c r="C9" s="265" t="s">
        <v>129</v>
      </c>
      <c r="D9" s="265"/>
      <c r="E9" s="265"/>
      <c r="F9" s="265"/>
      <c r="G9" s="265"/>
      <c r="H9" s="265"/>
      <c r="I9" s="265"/>
      <c r="J9" s="265"/>
      <c r="K9" s="265"/>
      <c r="L9" s="105"/>
    </row>
    <row r="10" spans="2:12" ht="7.5" customHeight="1" x14ac:dyDescent="0.25">
      <c r="B10" s="106"/>
      <c r="C10" s="88"/>
      <c r="D10" s="88"/>
      <c r="E10" s="88"/>
      <c r="F10" s="88"/>
      <c r="G10" s="88"/>
      <c r="H10" s="88"/>
      <c r="I10" s="88"/>
      <c r="J10" s="88"/>
      <c r="K10" s="88"/>
      <c r="L10" s="105"/>
    </row>
    <row r="11" spans="2:12" x14ac:dyDescent="0.25">
      <c r="B11" s="106"/>
      <c r="C11" s="269" t="s">
        <v>127</v>
      </c>
      <c r="D11" s="270"/>
      <c r="E11" s="270"/>
      <c r="F11" s="271"/>
      <c r="G11" s="88"/>
      <c r="H11" s="266" t="s">
        <v>128</v>
      </c>
      <c r="I11" s="267"/>
      <c r="J11" s="267"/>
      <c r="K11" s="268"/>
      <c r="L11" s="105"/>
    </row>
    <row r="12" spans="2:12" x14ac:dyDescent="0.25">
      <c r="B12" s="106"/>
      <c r="C12" s="17">
        <f t="shared" ref="C12:F14" ca="1" si="0">+ROUND(RAND()*80+20,0)</f>
        <v>33</v>
      </c>
      <c r="D12" s="17">
        <f t="shared" ca="1" si="0"/>
        <v>49</v>
      </c>
      <c r="E12" s="17">
        <f t="shared" ca="1" si="0"/>
        <v>56</v>
      </c>
      <c r="F12" s="17">
        <f t="shared" ca="1" si="0"/>
        <v>40</v>
      </c>
      <c r="G12" s="88"/>
      <c r="H12" s="84">
        <f t="shared" ref="H12:K14" ca="1" si="1">+ROUND(RAND()*80+20,0)</f>
        <v>84</v>
      </c>
      <c r="I12" s="84">
        <f t="shared" ca="1" si="1"/>
        <v>85</v>
      </c>
      <c r="J12" s="84">
        <f t="shared" ca="1" si="1"/>
        <v>37</v>
      </c>
      <c r="K12" s="84">
        <f t="shared" ca="1" si="1"/>
        <v>80</v>
      </c>
      <c r="L12" s="105"/>
    </row>
    <row r="13" spans="2:12" x14ac:dyDescent="0.25">
      <c r="B13" s="106"/>
      <c r="C13" s="118">
        <f t="shared" ca="1" si="0"/>
        <v>43</v>
      </c>
      <c r="D13" s="118">
        <f t="shared" ca="1" si="0"/>
        <v>96</v>
      </c>
      <c r="E13" s="118">
        <f t="shared" ca="1" si="0"/>
        <v>45</v>
      </c>
      <c r="F13" s="118">
        <f t="shared" ca="1" si="0"/>
        <v>46</v>
      </c>
      <c r="G13" s="88"/>
      <c r="H13" s="85">
        <f t="shared" ca="1" si="1"/>
        <v>81</v>
      </c>
      <c r="I13" s="85">
        <f t="shared" ca="1" si="1"/>
        <v>85</v>
      </c>
      <c r="J13" s="85">
        <f t="shared" ca="1" si="1"/>
        <v>58</v>
      </c>
      <c r="K13" s="85">
        <f t="shared" ca="1" si="1"/>
        <v>28</v>
      </c>
      <c r="L13" s="105"/>
    </row>
    <row r="14" spans="2:12" x14ac:dyDescent="0.25">
      <c r="B14" s="106"/>
      <c r="C14" s="17">
        <f t="shared" ca="1" si="0"/>
        <v>35</v>
      </c>
      <c r="D14" s="17">
        <f t="shared" ca="1" si="0"/>
        <v>28</v>
      </c>
      <c r="E14" s="17">
        <f t="shared" ca="1" si="0"/>
        <v>71</v>
      </c>
      <c r="F14" s="17">
        <f t="shared" ca="1" si="0"/>
        <v>69</v>
      </c>
      <c r="G14" s="88"/>
      <c r="H14" s="84">
        <f t="shared" ca="1" si="1"/>
        <v>86</v>
      </c>
      <c r="I14" s="84">
        <f t="shared" ca="1" si="1"/>
        <v>52</v>
      </c>
      <c r="J14" s="84">
        <f t="shared" ca="1" si="1"/>
        <v>97</v>
      </c>
      <c r="K14" s="84">
        <f t="shared" ca="1" si="1"/>
        <v>87</v>
      </c>
      <c r="L14" s="105"/>
    </row>
    <row r="15" spans="2:12" ht="7.5" customHeight="1" x14ac:dyDescent="0.25">
      <c r="B15" s="106"/>
      <c r="C15" s="88"/>
      <c r="D15" s="88"/>
      <c r="E15" s="88"/>
      <c r="F15" s="88"/>
      <c r="G15" s="88"/>
      <c r="H15" s="88"/>
      <c r="I15" s="88"/>
      <c r="J15" s="88"/>
      <c r="K15" s="88"/>
      <c r="L15" s="105"/>
    </row>
    <row r="16" spans="2:12" ht="24.95" customHeight="1" x14ac:dyDescent="0.25">
      <c r="B16" s="106"/>
      <c r="C16" s="264" t="s">
        <v>153</v>
      </c>
      <c r="D16" s="264"/>
      <c r="E16" s="264"/>
      <c r="F16" s="264"/>
      <c r="G16" s="264"/>
      <c r="H16" s="264"/>
      <c r="I16" s="264"/>
      <c r="J16" s="264"/>
      <c r="K16" s="264"/>
      <c r="L16" s="105"/>
    </row>
    <row r="17" spans="2:12" ht="7.5" customHeight="1" x14ac:dyDescent="0.25">
      <c r="B17" s="106"/>
      <c r="C17" s="119"/>
      <c r="D17" s="119"/>
      <c r="E17" s="119"/>
      <c r="F17" s="119"/>
      <c r="G17" s="119"/>
      <c r="H17" s="119"/>
      <c r="I17" s="119"/>
      <c r="J17" s="119"/>
      <c r="K17" s="119"/>
      <c r="L17" s="105"/>
    </row>
    <row r="18" spans="2:12" ht="15" customHeight="1" x14ac:dyDescent="0.25">
      <c r="B18" s="106"/>
      <c r="C18" s="119"/>
      <c r="D18" s="119"/>
      <c r="E18" s="119"/>
      <c r="F18" s="119"/>
      <c r="G18" s="119"/>
      <c r="H18" s="119"/>
      <c r="I18" s="119"/>
      <c r="J18" s="119"/>
      <c r="K18" s="119"/>
      <c r="L18" s="105"/>
    </row>
    <row r="19" spans="2:12" ht="18" customHeight="1" x14ac:dyDescent="0.25">
      <c r="B19" s="106"/>
      <c r="C19" s="107" t="s">
        <v>155</v>
      </c>
      <c r="D19" s="119"/>
      <c r="E19" s="119"/>
      <c r="F19" s="119"/>
      <c r="G19" s="119"/>
      <c r="H19" s="119"/>
      <c r="I19" s="119"/>
      <c r="J19" s="119"/>
      <c r="K19" s="119"/>
      <c r="L19" s="105"/>
    </row>
    <row r="20" spans="2:12" ht="15" customHeight="1" x14ac:dyDescent="0.25">
      <c r="B20" s="106"/>
      <c r="C20" s="265" t="s">
        <v>154</v>
      </c>
      <c r="D20" s="265"/>
      <c r="E20" s="265"/>
      <c r="F20" s="265"/>
      <c r="G20" s="265"/>
      <c r="H20" s="265"/>
      <c r="I20" s="265"/>
      <c r="J20" s="265"/>
      <c r="K20" s="265"/>
      <c r="L20" s="105"/>
    </row>
    <row r="21" spans="2:12" ht="7.5" customHeight="1" x14ac:dyDescent="0.25">
      <c r="B21" s="106"/>
      <c r="C21" s="119"/>
      <c r="D21" s="119"/>
      <c r="E21" s="119"/>
      <c r="F21" s="119"/>
      <c r="G21" s="119"/>
      <c r="H21" s="119"/>
      <c r="I21" s="119"/>
      <c r="J21" s="119"/>
      <c r="K21" s="119"/>
      <c r="L21" s="105"/>
    </row>
    <row r="22" spans="2:12" ht="15" customHeight="1" x14ac:dyDescent="0.25">
      <c r="B22" s="106"/>
      <c r="C22" s="119"/>
      <c r="D22" s="119"/>
      <c r="E22" s="119"/>
      <c r="F22" s="119"/>
      <c r="G22" s="119"/>
      <c r="H22" s="119"/>
      <c r="I22" s="119"/>
      <c r="J22" s="119"/>
      <c r="K22" s="119"/>
      <c r="L22" s="105"/>
    </row>
    <row r="23" spans="2:12" ht="15" customHeight="1" x14ac:dyDescent="0.25">
      <c r="B23" s="106"/>
      <c r="C23" s="119"/>
      <c r="D23" s="119"/>
      <c r="E23" s="119"/>
      <c r="F23" s="119"/>
      <c r="G23" s="119"/>
      <c r="H23" s="119"/>
      <c r="I23" s="119"/>
      <c r="J23" s="119"/>
      <c r="K23" s="119"/>
      <c r="L23" s="105"/>
    </row>
    <row r="24" spans="2:12" ht="15" customHeight="1" x14ac:dyDescent="0.25">
      <c r="B24" s="106"/>
      <c r="C24" s="119"/>
      <c r="D24" s="119"/>
      <c r="E24" s="119"/>
      <c r="F24" s="119"/>
      <c r="G24" s="119"/>
      <c r="H24" s="119"/>
      <c r="I24" s="119"/>
      <c r="J24" s="119"/>
      <c r="K24" s="119"/>
      <c r="L24" s="105"/>
    </row>
    <row r="25" spans="2:12" ht="15" customHeight="1" x14ac:dyDescent="0.25">
      <c r="B25" s="106"/>
      <c r="C25" s="119"/>
      <c r="D25" s="119"/>
      <c r="E25" s="119"/>
      <c r="F25" s="119"/>
      <c r="G25" s="119"/>
      <c r="H25" s="119"/>
      <c r="I25" s="119"/>
      <c r="J25" s="119"/>
      <c r="K25" s="119"/>
      <c r="L25" s="105"/>
    </row>
    <row r="26" spans="2:12" ht="15" customHeight="1" x14ac:dyDescent="0.25">
      <c r="B26" s="106"/>
      <c r="C26" s="119"/>
      <c r="D26" s="119"/>
      <c r="E26" s="119"/>
      <c r="F26" s="119"/>
      <c r="G26" s="119"/>
      <c r="H26" s="119"/>
      <c r="I26" s="119"/>
      <c r="J26" s="119"/>
      <c r="K26" s="119"/>
      <c r="L26" s="105"/>
    </row>
    <row r="27" spans="2:12" x14ac:dyDescent="0.25">
      <c r="B27" s="106"/>
      <c r="C27" s="88"/>
      <c r="D27" s="88"/>
      <c r="E27" s="88"/>
      <c r="F27" s="88"/>
      <c r="G27" s="88"/>
      <c r="H27" s="88"/>
      <c r="I27" s="88"/>
      <c r="J27" s="88"/>
      <c r="K27" s="88"/>
      <c r="L27" s="105"/>
    </row>
    <row r="28" spans="2:12" ht="15" customHeight="1" x14ac:dyDescent="0.25">
      <c r="B28" s="106"/>
      <c r="C28" s="88"/>
      <c r="D28" s="88"/>
      <c r="E28" s="88"/>
      <c r="F28" s="88"/>
      <c r="G28" s="88"/>
      <c r="H28" s="88"/>
      <c r="I28" s="88"/>
      <c r="J28" s="88"/>
      <c r="K28" s="88"/>
      <c r="L28" s="105"/>
    </row>
    <row r="29" spans="2:12" ht="18" x14ac:dyDescent="0.25">
      <c r="B29" s="106"/>
      <c r="C29" s="107" t="s">
        <v>125</v>
      </c>
      <c r="D29" s="107"/>
      <c r="E29" s="88"/>
      <c r="F29" s="88"/>
      <c r="G29" s="88"/>
      <c r="H29" s="88"/>
      <c r="I29" s="88"/>
      <c r="J29" s="88"/>
      <c r="K29" s="88"/>
      <c r="L29" s="105"/>
    </row>
    <row r="30" spans="2:12" s="86" customFormat="1" ht="45" customHeight="1" x14ac:dyDescent="0.25">
      <c r="B30" s="114"/>
      <c r="C30" s="262" t="s">
        <v>140</v>
      </c>
      <c r="D30" s="262"/>
      <c r="E30" s="262"/>
      <c r="F30" s="262"/>
      <c r="G30" s="262"/>
      <c r="H30" s="262"/>
      <c r="I30" s="262"/>
      <c r="J30" s="262"/>
      <c r="K30" s="262"/>
      <c r="L30" s="115"/>
    </row>
    <row r="31" spans="2:12" s="86" customFormat="1" ht="7.5" customHeight="1" x14ac:dyDescent="0.25">
      <c r="B31" s="114"/>
      <c r="C31" s="108"/>
      <c r="D31" s="108"/>
      <c r="E31" s="108"/>
      <c r="F31" s="108"/>
      <c r="G31" s="108"/>
      <c r="H31" s="108"/>
      <c r="I31" s="108"/>
      <c r="J31" s="108"/>
      <c r="K31" s="108"/>
      <c r="L31" s="115"/>
    </row>
    <row r="32" spans="2:12" x14ac:dyDescent="0.25">
      <c r="B32" s="106"/>
      <c r="C32" s="88"/>
      <c r="D32" s="88"/>
      <c r="E32" s="88"/>
      <c r="F32" s="88"/>
      <c r="G32" s="88"/>
      <c r="H32" s="88"/>
      <c r="I32" s="88"/>
      <c r="J32" s="88"/>
      <c r="K32" s="88"/>
      <c r="L32" s="105"/>
    </row>
    <row r="33" spans="2:12" x14ac:dyDescent="0.25">
      <c r="B33" s="106"/>
      <c r="C33" s="88"/>
      <c r="D33" s="88"/>
      <c r="E33" s="88"/>
      <c r="F33" s="88"/>
      <c r="G33" s="88"/>
      <c r="H33" s="88"/>
      <c r="I33" s="88"/>
      <c r="J33" s="88"/>
      <c r="K33" s="88"/>
      <c r="L33" s="105"/>
    </row>
    <row r="34" spans="2:12" x14ac:dyDescent="0.25">
      <c r="B34" s="106"/>
      <c r="C34" s="88"/>
      <c r="D34" s="88"/>
      <c r="E34" s="88"/>
      <c r="F34" s="88"/>
      <c r="G34" s="88"/>
      <c r="H34" s="88"/>
      <c r="I34" s="88"/>
      <c r="J34" s="88"/>
      <c r="K34" s="88"/>
      <c r="L34" s="105"/>
    </row>
    <row r="35" spans="2:12" x14ac:dyDescent="0.25">
      <c r="B35" s="106"/>
      <c r="C35" s="88"/>
      <c r="D35" s="88"/>
      <c r="E35" s="88"/>
      <c r="F35" s="88"/>
      <c r="G35" s="88"/>
      <c r="H35" s="88"/>
      <c r="I35" s="88"/>
      <c r="J35" s="88"/>
      <c r="K35" s="88"/>
      <c r="L35" s="105"/>
    </row>
    <row r="36" spans="2:12" x14ac:dyDescent="0.25">
      <c r="B36" s="106"/>
      <c r="C36" s="88"/>
      <c r="D36" s="88"/>
      <c r="E36" s="88"/>
      <c r="F36" s="88"/>
      <c r="G36" s="88"/>
      <c r="H36" s="88"/>
      <c r="I36" s="88"/>
      <c r="J36" s="88"/>
      <c r="K36" s="88"/>
      <c r="L36" s="105"/>
    </row>
    <row r="37" spans="2:12" x14ac:dyDescent="0.25">
      <c r="B37" s="106"/>
      <c r="C37" s="88"/>
      <c r="D37" s="88"/>
      <c r="E37" s="88"/>
      <c r="F37" s="88"/>
      <c r="G37" s="88"/>
      <c r="H37" s="88"/>
      <c r="I37" s="88"/>
      <c r="J37" s="88"/>
      <c r="K37" s="88"/>
      <c r="L37" s="105"/>
    </row>
    <row r="38" spans="2:12" x14ac:dyDescent="0.25">
      <c r="B38" s="106"/>
      <c r="C38" s="88"/>
      <c r="D38" s="88"/>
      <c r="E38" s="88"/>
      <c r="F38" s="88"/>
      <c r="G38" s="88"/>
      <c r="H38" s="88"/>
      <c r="I38" s="88"/>
      <c r="J38" s="88"/>
      <c r="K38" s="88"/>
      <c r="L38" s="105"/>
    </row>
    <row r="39" spans="2:12" x14ac:dyDescent="0.25">
      <c r="B39" s="106"/>
      <c r="C39" s="88"/>
      <c r="D39" s="88"/>
      <c r="E39" s="88"/>
      <c r="F39" s="88"/>
      <c r="G39" s="88"/>
      <c r="H39" s="88"/>
      <c r="I39" s="88"/>
      <c r="J39" s="88"/>
      <c r="K39" s="88"/>
      <c r="L39" s="105"/>
    </row>
    <row r="40" spans="2:12" x14ac:dyDescent="0.25">
      <c r="B40" s="106"/>
      <c r="C40" s="88"/>
      <c r="D40" s="88"/>
      <c r="E40" s="88"/>
      <c r="F40" s="88"/>
      <c r="G40" s="88"/>
      <c r="H40" s="88"/>
      <c r="I40" s="88"/>
      <c r="J40" s="88"/>
      <c r="K40" s="88"/>
      <c r="L40" s="105"/>
    </row>
    <row r="41" spans="2:12" x14ac:dyDescent="0.25">
      <c r="B41" s="106"/>
      <c r="C41" s="88"/>
      <c r="D41" s="88"/>
      <c r="E41" s="88"/>
      <c r="F41" s="88"/>
      <c r="G41" s="88"/>
      <c r="H41" s="88"/>
      <c r="I41" s="88"/>
      <c r="J41" s="88"/>
      <c r="K41" s="88"/>
      <c r="L41" s="105"/>
    </row>
    <row r="42" spans="2:12" x14ac:dyDescent="0.25">
      <c r="B42" s="106"/>
      <c r="C42" s="88"/>
      <c r="D42" s="88"/>
      <c r="E42" s="88"/>
      <c r="F42" s="88"/>
      <c r="G42" s="88"/>
      <c r="H42" s="88"/>
      <c r="I42" s="88"/>
      <c r="J42" s="88"/>
      <c r="K42" s="88"/>
      <c r="L42" s="105"/>
    </row>
    <row r="43" spans="2:12" ht="7.5" customHeight="1" x14ac:dyDescent="0.25">
      <c r="B43" s="106"/>
      <c r="C43" s="88"/>
      <c r="D43" s="88"/>
      <c r="E43" s="88"/>
      <c r="F43" s="88"/>
      <c r="G43" s="88"/>
      <c r="H43" s="88"/>
      <c r="I43" s="88"/>
      <c r="J43" s="88"/>
      <c r="K43" s="88"/>
      <c r="L43" s="105"/>
    </row>
    <row r="44" spans="2:12" ht="18" x14ac:dyDescent="0.25">
      <c r="B44" s="106"/>
      <c r="C44" s="107" t="s">
        <v>141</v>
      </c>
      <c r="D44" s="88"/>
      <c r="E44" s="88"/>
      <c r="F44" s="88"/>
      <c r="G44" s="88"/>
      <c r="H44" s="88"/>
      <c r="I44" s="88"/>
      <c r="J44" s="88"/>
      <c r="K44" s="88"/>
      <c r="L44" s="105"/>
    </row>
    <row r="45" spans="2:12" ht="30" customHeight="1" x14ac:dyDescent="0.25">
      <c r="B45" s="106"/>
      <c r="C45" s="262" t="s">
        <v>142</v>
      </c>
      <c r="D45" s="262"/>
      <c r="E45" s="262"/>
      <c r="F45" s="262"/>
      <c r="G45" s="262"/>
      <c r="H45" s="262"/>
      <c r="I45" s="262"/>
      <c r="J45" s="262"/>
      <c r="K45" s="262"/>
      <c r="L45" s="105"/>
    </row>
    <row r="46" spans="2:12" ht="7.5" customHeight="1" x14ac:dyDescent="0.25">
      <c r="B46" s="106"/>
      <c r="C46" s="88"/>
      <c r="D46" s="88"/>
      <c r="E46" s="88"/>
      <c r="F46" s="88"/>
      <c r="G46" s="88"/>
      <c r="H46" s="88"/>
      <c r="I46" s="88"/>
      <c r="J46" s="88"/>
      <c r="K46" s="88"/>
      <c r="L46" s="105"/>
    </row>
    <row r="47" spans="2:12" x14ac:dyDescent="0.25">
      <c r="B47" s="106"/>
      <c r="C47" s="88"/>
      <c r="D47" s="88"/>
      <c r="E47" s="88"/>
      <c r="F47" s="88"/>
      <c r="G47" s="88"/>
      <c r="H47" s="88"/>
      <c r="I47" s="88"/>
      <c r="J47" s="88"/>
      <c r="K47" s="88"/>
      <c r="L47" s="105"/>
    </row>
    <row r="48" spans="2:12" x14ac:dyDescent="0.25">
      <c r="B48" s="106"/>
      <c r="C48" s="88"/>
      <c r="D48" s="88"/>
      <c r="E48" s="88"/>
      <c r="F48" s="88"/>
      <c r="G48" s="88"/>
      <c r="H48" s="88"/>
      <c r="I48" s="88"/>
      <c r="J48" s="88"/>
      <c r="K48" s="88"/>
      <c r="L48" s="105"/>
    </row>
    <row r="49" spans="2:12" x14ac:dyDescent="0.25">
      <c r="B49" s="106"/>
      <c r="C49" s="88"/>
      <c r="D49" s="88"/>
      <c r="E49" s="88"/>
      <c r="F49" s="88"/>
      <c r="G49" s="88"/>
      <c r="H49" s="88"/>
      <c r="I49" s="88"/>
      <c r="J49" s="88"/>
      <c r="K49" s="88"/>
      <c r="L49" s="105"/>
    </row>
    <row r="50" spans="2:12" x14ac:dyDescent="0.25">
      <c r="B50" s="106"/>
      <c r="C50" s="88"/>
      <c r="D50" s="88"/>
      <c r="E50" s="88"/>
      <c r="F50" s="88"/>
      <c r="G50" s="88"/>
      <c r="H50" s="88"/>
      <c r="I50" s="88"/>
      <c r="J50" s="88"/>
      <c r="K50" s="88"/>
      <c r="L50" s="105"/>
    </row>
    <row r="51" spans="2:12" x14ac:dyDescent="0.25">
      <c r="B51" s="106"/>
      <c r="C51" s="88"/>
      <c r="D51" s="88"/>
      <c r="E51" s="88"/>
      <c r="F51" s="88"/>
      <c r="G51" s="88"/>
      <c r="H51" s="88"/>
      <c r="I51" s="88"/>
      <c r="J51" s="88"/>
      <c r="K51" s="88"/>
      <c r="L51" s="105"/>
    </row>
    <row r="52" spans="2:12" x14ac:dyDescent="0.25">
      <c r="B52" s="106"/>
      <c r="C52" s="88"/>
      <c r="D52" s="88"/>
      <c r="E52" s="88"/>
      <c r="F52" s="88"/>
      <c r="G52" s="88"/>
      <c r="H52" s="88"/>
      <c r="I52" s="88"/>
      <c r="J52" s="88"/>
      <c r="K52" s="88"/>
      <c r="L52" s="105"/>
    </row>
    <row r="53" spans="2:12" x14ac:dyDescent="0.25">
      <c r="B53" s="106"/>
      <c r="C53" s="88"/>
      <c r="D53" s="88"/>
      <c r="E53" s="88"/>
      <c r="F53" s="88"/>
      <c r="G53" s="88"/>
      <c r="H53" s="88"/>
      <c r="I53" s="88"/>
      <c r="J53" s="88"/>
      <c r="K53" s="88"/>
      <c r="L53" s="105"/>
    </row>
    <row r="54" spans="2:12" ht="30" customHeight="1" x14ac:dyDescent="0.25">
      <c r="B54" s="106"/>
      <c r="C54" s="262" t="s">
        <v>143</v>
      </c>
      <c r="D54" s="262"/>
      <c r="E54" s="262"/>
      <c r="F54" s="262"/>
      <c r="G54" s="262"/>
      <c r="H54" s="262"/>
      <c r="I54" s="262"/>
      <c r="J54" s="262"/>
      <c r="K54" s="262"/>
      <c r="L54" s="105"/>
    </row>
    <row r="55" spans="2:12" ht="7.5" customHeight="1" x14ac:dyDescent="0.25">
      <c r="B55" s="106"/>
      <c r="C55" s="88"/>
      <c r="D55" s="88"/>
      <c r="E55" s="88"/>
      <c r="F55" s="88"/>
      <c r="G55" s="88"/>
      <c r="H55" s="88"/>
      <c r="I55" s="88"/>
      <c r="J55" s="88"/>
      <c r="K55" s="88"/>
      <c r="L55" s="105"/>
    </row>
    <row r="56" spans="2:12" ht="30" customHeight="1" x14ac:dyDescent="0.25">
      <c r="B56" s="106"/>
      <c r="C56" s="262" t="s">
        <v>144</v>
      </c>
      <c r="D56" s="262"/>
      <c r="E56" s="262"/>
      <c r="F56" s="262"/>
      <c r="G56" s="262"/>
      <c r="H56" s="262"/>
      <c r="I56" s="262"/>
      <c r="J56" s="262"/>
      <c r="K56" s="262"/>
      <c r="L56" s="105"/>
    </row>
    <row r="57" spans="2:12" x14ac:dyDescent="0.25">
      <c r="B57" s="106"/>
      <c r="C57" s="88"/>
      <c r="D57" s="88"/>
      <c r="E57" s="88"/>
      <c r="F57" s="88"/>
      <c r="G57" s="88"/>
      <c r="H57" s="88"/>
      <c r="I57" s="88"/>
      <c r="J57" s="88"/>
      <c r="K57" s="88"/>
      <c r="L57" s="105"/>
    </row>
    <row r="58" spans="2:12" x14ac:dyDescent="0.25">
      <c r="B58" s="106"/>
      <c r="C58" s="262" t="s">
        <v>156</v>
      </c>
      <c r="D58" s="262"/>
      <c r="E58" s="262"/>
      <c r="F58" s="262"/>
      <c r="G58" s="262"/>
      <c r="H58" s="262"/>
      <c r="I58" s="262"/>
      <c r="J58" s="262"/>
      <c r="K58" s="262"/>
      <c r="L58" s="105"/>
    </row>
    <row r="59" spans="2:12" ht="7.5" customHeight="1" x14ac:dyDescent="0.25">
      <c r="B59" s="106"/>
      <c r="C59" s="88"/>
      <c r="D59" s="88"/>
      <c r="E59" s="88"/>
      <c r="F59" s="88"/>
      <c r="G59" s="88"/>
      <c r="H59" s="88"/>
      <c r="I59" s="88"/>
      <c r="J59" s="88"/>
      <c r="K59" s="88"/>
      <c r="L59" s="105"/>
    </row>
    <row r="60" spans="2:12" x14ac:dyDescent="0.25">
      <c r="B60" s="106"/>
      <c r="C60" s="88"/>
      <c r="D60" s="88"/>
      <c r="E60" s="88"/>
      <c r="F60" s="88"/>
      <c r="G60" s="88"/>
      <c r="H60" s="88"/>
      <c r="I60" s="88"/>
      <c r="J60" s="88"/>
      <c r="K60" s="88"/>
      <c r="L60" s="105"/>
    </row>
    <row r="61" spans="2:12" x14ac:dyDescent="0.25">
      <c r="B61" s="106"/>
      <c r="C61" s="88"/>
      <c r="D61" s="88"/>
      <c r="E61" s="88"/>
      <c r="F61" s="88"/>
      <c r="G61" s="88"/>
      <c r="H61" s="88"/>
      <c r="I61" s="88"/>
      <c r="J61" s="88"/>
      <c r="K61" s="88"/>
      <c r="L61" s="105"/>
    </row>
    <row r="62" spans="2:12" x14ac:dyDescent="0.25">
      <c r="B62" s="106"/>
      <c r="C62" s="88"/>
      <c r="D62" s="88"/>
      <c r="E62" s="88"/>
      <c r="F62" s="88"/>
      <c r="G62" s="88"/>
      <c r="H62" s="88"/>
      <c r="I62" s="88"/>
      <c r="J62" s="88"/>
      <c r="K62" s="88"/>
      <c r="L62" s="105"/>
    </row>
    <row r="63" spans="2:12" x14ac:dyDescent="0.25">
      <c r="B63" s="106"/>
      <c r="C63" s="88"/>
      <c r="D63" s="88"/>
      <c r="E63" s="88"/>
      <c r="F63" s="88"/>
      <c r="G63" s="88"/>
      <c r="H63" s="88"/>
      <c r="I63" s="88"/>
      <c r="J63" s="88"/>
      <c r="K63" s="88"/>
      <c r="L63" s="105"/>
    </row>
    <row r="64" spans="2:12" x14ac:dyDescent="0.25">
      <c r="B64" s="106"/>
      <c r="C64" s="88"/>
      <c r="D64" s="88"/>
      <c r="E64" s="88"/>
      <c r="F64" s="88"/>
      <c r="G64" s="88"/>
      <c r="H64" s="88"/>
      <c r="I64" s="88"/>
      <c r="J64" s="88"/>
      <c r="K64" s="88"/>
      <c r="L64" s="105"/>
    </row>
    <row r="65" spans="2:12" x14ac:dyDescent="0.25">
      <c r="B65" s="106"/>
      <c r="C65" s="88"/>
      <c r="D65" s="88"/>
      <c r="E65" s="88"/>
      <c r="F65" s="88"/>
      <c r="G65" s="88"/>
      <c r="H65" s="88"/>
      <c r="I65" s="88"/>
      <c r="J65" s="88"/>
      <c r="K65" s="88"/>
      <c r="L65" s="105"/>
    </row>
    <row r="66" spans="2:12" x14ac:dyDescent="0.25">
      <c r="B66" s="106"/>
      <c r="C66" s="88"/>
      <c r="D66" s="88"/>
      <c r="E66" s="88"/>
      <c r="F66" s="88"/>
      <c r="G66" s="88"/>
      <c r="H66" s="88"/>
      <c r="I66" s="88"/>
      <c r="J66" s="88"/>
      <c r="K66" s="88"/>
      <c r="L66" s="105"/>
    </row>
    <row r="67" spans="2:12" x14ac:dyDescent="0.25">
      <c r="B67" s="106"/>
      <c r="C67" s="88"/>
      <c r="D67" s="88"/>
      <c r="E67" s="88"/>
      <c r="F67" s="88"/>
      <c r="G67" s="88"/>
      <c r="H67" s="88"/>
      <c r="I67" s="88"/>
      <c r="J67" s="88"/>
      <c r="K67" s="88"/>
      <c r="L67" s="105"/>
    </row>
    <row r="68" spans="2:12" x14ac:dyDescent="0.25">
      <c r="B68" s="106"/>
      <c r="C68" s="88"/>
      <c r="D68" s="88"/>
      <c r="E68" s="88"/>
      <c r="F68" s="88"/>
      <c r="G68" s="88"/>
      <c r="H68" s="88"/>
      <c r="I68" s="88"/>
      <c r="J68" s="88"/>
      <c r="K68" s="88"/>
      <c r="L68" s="105"/>
    </row>
    <row r="69" spans="2:12" x14ac:dyDescent="0.25">
      <c r="B69" s="106"/>
      <c r="C69" s="88"/>
      <c r="D69" s="88"/>
      <c r="E69" s="88"/>
      <c r="F69" s="88"/>
      <c r="G69" s="88"/>
      <c r="H69" s="88"/>
      <c r="I69" s="88"/>
      <c r="J69" s="88"/>
      <c r="K69" s="88"/>
      <c r="L69" s="105"/>
    </row>
    <row r="70" spans="2:12" x14ac:dyDescent="0.25">
      <c r="B70" s="106"/>
      <c r="C70" s="88"/>
      <c r="D70" s="88"/>
      <c r="E70" s="88"/>
      <c r="F70" s="88"/>
      <c r="G70" s="88"/>
      <c r="H70" s="88"/>
      <c r="I70" s="88"/>
      <c r="J70" s="88"/>
      <c r="K70" s="88"/>
      <c r="L70" s="105"/>
    </row>
    <row r="71" spans="2:12" x14ac:dyDescent="0.25">
      <c r="B71" s="106"/>
      <c r="C71" s="88"/>
      <c r="D71" s="88"/>
      <c r="E71" s="88"/>
      <c r="F71" s="88"/>
      <c r="G71" s="88"/>
      <c r="H71" s="88"/>
      <c r="I71" s="88"/>
      <c r="J71" s="88"/>
      <c r="K71" s="88"/>
      <c r="L71" s="105"/>
    </row>
    <row r="72" spans="2:12" x14ac:dyDescent="0.25">
      <c r="B72" s="106"/>
      <c r="C72" s="88"/>
      <c r="D72" s="88"/>
      <c r="E72" s="88"/>
      <c r="F72" s="88"/>
      <c r="G72" s="88"/>
      <c r="H72" s="88"/>
      <c r="I72" s="88"/>
      <c r="J72" s="88"/>
      <c r="K72" s="88"/>
      <c r="L72" s="105"/>
    </row>
    <row r="73" spans="2:12" x14ac:dyDescent="0.25">
      <c r="B73" s="106"/>
      <c r="C73" s="88"/>
      <c r="D73" s="88"/>
      <c r="E73" s="88"/>
      <c r="F73" s="88"/>
      <c r="G73" s="88"/>
      <c r="H73" s="88"/>
      <c r="I73" s="88"/>
      <c r="J73" s="88"/>
      <c r="K73" s="88"/>
      <c r="L73" s="105"/>
    </row>
    <row r="74" spans="2:12" x14ac:dyDescent="0.25">
      <c r="B74" s="106"/>
      <c r="C74" s="88"/>
      <c r="D74" s="88"/>
      <c r="E74" s="88"/>
      <c r="F74" s="88"/>
      <c r="G74" s="88"/>
      <c r="H74" s="88"/>
      <c r="I74" s="88"/>
      <c r="J74" s="88"/>
      <c r="K74" s="88"/>
      <c r="L74" s="105"/>
    </row>
    <row r="75" spans="2:12" x14ac:dyDescent="0.25">
      <c r="B75" s="106"/>
      <c r="C75" s="88"/>
      <c r="D75" s="88"/>
      <c r="E75" s="88"/>
      <c r="F75" s="88"/>
      <c r="G75" s="88"/>
      <c r="H75" s="88"/>
      <c r="I75" s="88"/>
      <c r="J75" s="88"/>
      <c r="K75" s="88"/>
      <c r="L75" s="105"/>
    </row>
    <row r="76" spans="2:12" x14ac:dyDescent="0.25">
      <c r="B76" s="106"/>
      <c r="C76" s="88"/>
      <c r="D76" s="88"/>
      <c r="E76" s="88"/>
      <c r="F76" s="88"/>
      <c r="G76" s="88"/>
      <c r="H76" s="88"/>
      <c r="I76" s="88"/>
      <c r="J76" s="88"/>
      <c r="K76" s="88"/>
      <c r="L76" s="105"/>
    </row>
    <row r="77" spans="2:12" ht="7.5" customHeight="1" x14ac:dyDescent="0.25">
      <c r="B77" s="106"/>
      <c r="C77" s="88"/>
      <c r="D77" s="88"/>
      <c r="E77" s="88"/>
      <c r="F77" s="88"/>
      <c r="G77" s="88"/>
      <c r="H77" s="88"/>
      <c r="I77" s="88"/>
      <c r="J77" s="88"/>
      <c r="K77" s="88"/>
      <c r="L77" s="105"/>
    </row>
    <row r="78" spans="2:12" ht="24.75" x14ac:dyDescent="0.3">
      <c r="B78" s="106"/>
      <c r="C78" s="104" t="s">
        <v>150</v>
      </c>
      <c r="D78" s="88"/>
      <c r="E78" s="88"/>
      <c r="F78" s="88"/>
      <c r="G78" s="88"/>
      <c r="H78" s="88"/>
      <c r="I78" s="88"/>
      <c r="J78" s="88"/>
      <c r="K78" s="88"/>
      <c r="L78" s="105"/>
    </row>
    <row r="79" spans="2:12" ht="7.5" customHeight="1" x14ac:dyDescent="0.25">
      <c r="B79" s="106"/>
      <c r="C79" s="88"/>
      <c r="D79" s="88"/>
      <c r="E79" s="88"/>
      <c r="F79" s="88"/>
      <c r="G79" s="88"/>
      <c r="H79" s="88"/>
      <c r="I79" s="88"/>
      <c r="J79" s="88"/>
      <c r="K79" s="88"/>
      <c r="L79" s="105"/>
    </row>
    <row r="80" spans="2:12" ht="15.75" x14ac:dyDescent="0.25">
      <c r="B80" s="106"/>
      <c r="C80" s="116" t="s">
        <v>151</v>
      </c>
      <c r="D80" s="88"/>
      <c r="E80" s="88"/>
      <c r="F80" s="88"/>
      <c r="G80" s="88"/>
      <c r="H80" s="88"/>
      <c r="I80" s="88"/>
      <c r="J80" s="88"/>
      <c r="K80" s="88"/>
      <c r="L80" s="105"/>
    </row>
    <row r="81" spans="2:12" ht="15.75" x14ac:dyDescent="0.25">
      <c r="B81" s="106"/>
      <c r="C81" s="117" t="s">
        <v>152</v>
      </c>
      <c r="D81" s="88"/>
      <c r="E81" s="88"/>
      <c r="F81" s="88"/>
      <c r="G81" s="88"/>
      <c r="H81" s="88"/>
      <c r="I81" s="88"/>
      <c r="J81" s="88"/>
      <c r="K81" s="88"/>
      <c r="L81" s="105"/>
    </row>
    <row r="82" spans="2:12" ht="7.5" customHeight="1" x14ac:dyDescent="0.25">
      <c r="B82" s="106"/>
      <c r="C82" s="121"/>
      <c r="D82" s="88"/>
      <c r="E82" s="88"/>
      <c r="F82" s="88"/>
      <c r="G82" s="88"/>
      <c r="H82" s="88"/>
      <c r="I82" s="88"/>
      <c r="J82" s="88"/>
      <c r="K82" s="88"/>
      <c r="L82" s="105"/>
    </row>
    <row r="83" spans="2:12" x14ac:dyDescent="0.25">
      <c r="B83" s="106"/>
      <c r="C83" s="120" t="s">
        <v>157</v>
      </c>
      <c r="D83" s="88"/>
      <c r="E83" s="122"/>
      <c r="F83" s="88"/>
      <c r="G83" s="88"/>
      <c r="H83" s="88"/>
      <c r="I83" s="88"/>
      <c r="J83" s="88"/>
      <c r="K83" s="88"/>
      <c r="L83" s="105"/>
    </row>
    <row r="84" spans="2:12" x14ac:dyDescent="0.25">
      <c r="B84" s="109"/>
      <c r="C84" s="110"/>
      <c r="D84" s="110"/>
      <c r="E84" s="110"/>
      <c r="F84" s="110"/>
      <c r="G84" s="110"/>
      <c r="H84" s="110"/>
      <c r="I84" s="110"/>
      <c r="J84" s="110"/>
      <c r="K84" s="110"/>
      <c r="L84" s="111"/>
    </row>
  </sheetData>
  <sheetProtection selectLockedCells="1"/>
  <mergeCells count="12">
    <mergeCell ref="C54:K54"/>
    <mergeCell ref="C56:K56"/>
    <mergeCell ref="C58:K58"/>
    <mergeCell ref="C3:K3"/>
    <mergeCell ref="C16:K16"/>
    <mergeCell ref="C20:K20"/>
    <mergeCell ref="C5:K5"/>
    <mergeCell ref="C30:K30"/>
    <mergeCell ref="C9:K9"/>
    <mergeCell ref="H11:K11"/>
    <mergeCell ref="C11:F11"/>
    <mergeCell ref="C45:K45"/>
  </mergeCells>
  <hyperlinks>
    <hyperlink ref="C81" r:id="rId1"/>
    <hyperlink ref="C83" r:id="rId2"/>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workbookViewId="0">
      <selection activeCell="A2" sqref="A2"/>
    </sheetView>
  </sheetViews>
  <sheetFormatPr defaultColWidth="11.5703125" defaultRowHeight="14.25" outlineLevelCol="1" x14ac:dyDescent="0.2"/>
  <cols>
    <col min="1" max="1" width="14.5703125" style="10" customWidth="1"/>
    <col min="2" max="2" width="6.140625" style="10" customWidth="1" outlineLevel="1"/>
    <col min="3" max="3" width="6" style="10" customWidth="1" outlineLevel="1"/>
    <col min="4" max="4" width="7.85546875" style="10" customWidth="1" outlineLevel="1"/>
    <col min="5" max="5" width="15.7109375" style="10" customWidth="1" outlineLevel="1"/>
    <col min="6" max="6" width="7.85546875" style="10" customWidth="1" outlineLevel="1"/>
    <col min="7" max="7" width="11.28515625" style="10" customWidth="1" outlineLevel="1"/>
    <col min="8" max="8" width="11.85546875" style="10" customWidth="1" outlineLevel="1"/>
    <col min="9" max="9" width="12.7109375" style="10" customWidth="1"/>
    <col min="10" max="10" width="8.140625" style="10" customWidth="1"/>
    <col min="11" max="11" width="7.42578125" style="10" hidden="1" customWidth="1"/>
    <col min="12" max="12" width="11.5703125" style="20"/>
    <col min="13" max="16384" width="11.5703125" style="10"/>
  </cols>
  <sheetData>
    <row r="1" spans="1:12" s="16" customFormat="1" ht="28.5" x14ac:dyDescent="0.2">
      <c r="A1" s="24" t="s">
        <v>4</v>
      </c>
      <c r="B1" s="24" t="s">
        <v>101</v>
      </c>
      <c r="C1" s="24" t="s">
        <v>102</v>
      </c>
      <c r="D1" s="24" t="s">
        <v>103</v>
      </c>
      <c r="E1" s="24" t="s">
        <v>104</v>
      </c>
      <c r="F1" s="24" t="s">
        <v>105</v>
      </c>
      <c r="G1" s="24" t="s">
        <v>108</v>
      </c>
      <c r="H1" s="24" t="s">
        <v>5</v>
      </c>
      <c r="I1" s="24" t="s">
        <v>106</v>
      </c>
      <c r="J1" s="24" t="s">
        <v>107</v>
      </c>
      <c r="K1" s="18" t="s">
        <v>109</v>
      </c>
      <c r="L1" s="19"/>
    </row>
    <row r="2" spans="1:12" ht="153.75" customHeight="1" x14ac:dyDescent="0.2">
      <c r="A2" s="87" t="s">
        <v>138</v>
      </c>
      <c r="B2" s="87" t="s">
        <v>137</v>
      </c>
      <c r="C2" s="87" t="s">
        <v>131</v>
      </c>
      <c r="D2" s="87" t="s">
        <v>132</v>
      </c>
      <c r="E2" s="87" t="s">
        <v>133</v>
      </c>
      <c r="F2" s="87" t="s">
        <v>134</v>
      </c>
      <c r="G2" s="87" t="s">
        <v>135</v>
      </c>
      <c r="H2" s="89" t="s">
        <v>130</v>
      </c>
      <c r="I2" s="87" t="s">
        <v>136</v>
      </c>
      <c r="J2" s="87" t="s">
        <v>139</v>
      </c>
      <c r="K2" s="10" t="e">
        <f>+_xlfn.IFNA(heroes2[[#This Row],[Talent Level]]/INDEX(validation.talent[max],MATCH(heroes2[[#This Row],[Talent]],validation.talent[talent],0)),-1)</f>
        <v>#VALUE!</v>
      </c>
    </row>
    <row r="3" spans="1:12" x14ac:dyDescent="0.2">
      <c r="A3" s="25"/>
      <c r="B3" s="9"/>
      <c r="C3" s="1"/>
      <c r="D3" s="8"/>
      <c r="E3" s="1"/>
      <c r="F3" s="9"/>
      <c r="G3" s="9"/>
      <c r="H3" s="22"/>
      <c r="I3" s="1"/>
      <c r="J3" s="23"/>
      <c r="K3" s="10">
        <f>+_xlfn.IFNA(heroes2[[#This Row],[Talent Level]]/INDEX(validation.talent[max],MATCH(heroes2[[#This Row],[Talent]],validation.talent[talent],0)),-1)</f>
        <v>-1</v>
      </c>
    </row>
    <row r="4" spans="1:12" x14ac:dyDescent="0.2">
      <c r="A4" s="25"/>
      <c r="B4" s="9"/>
      <c r="C4" s="1"/>
      <c r="D4" s="8"/>
      <c r="E4" s="1"/>
      <c r="F4" s="9"/>
      <c r="G4" s="9"/>
      <c r="H4" s="21"/>
      <c r="I4" s="1"/>
      <c r="J4" s="23"/>
      <c r="K4" s="10">
        <f>+_xlfn.IFNA(heroes2[[#This Row],[Talent Level]]/INDEX(validation.talent[max],MATCH(heroes2[[#This Row],[Talent]],validation.talent[talent],0)),-1)</f>
        <v>-1</v>
      </c>
    </row>
    <row r="5" spans="1:12" x14ac:dyDescent="0.2">
      <c r="A5" s="25"/>
      <c r="B5" s="9"/>
      <c r="C5" s="1"/>
      <c r="D5" s="8"/>
      <c r="E5" s="1"/>
      <c r="F5" s="9"/>
      <c r="G5" s="9"/>
      <c r="H5" s="22"/>
      <c r="I5" s="1"/>
      <c r="J5" s="23"/>
      <c r="K5" s="10">
        <f>+_xlfn.IFNA(heroes2[[#This Row],[Talent Level]]/INDEX(validation.talent[max],MATCH(heroes2[[#This Row],[Talent]],validation.talent[talent],0)),-1)</f>
        <v>-1</v>
      </c>
    </row>
    <row r="6" spans="1:12" x14ac:dyDescent="0.2">
      <c r="A6" s="25"/>
      <c r="B6" s="9"/>
      <c r="C6" s="1"/>
      <c r="D6" s="8"/>
      <c r="E6" s="1"/>
      <c r="F6" s="9"/>
      <c r="G6" s="9"/>
      <c r="H6" s="21"/>
      <c r="I6" s="1"/>
      <c r="J6" s="23"/>
      <c r="K6" s="10">
        <f>+_xlfn.IFNA(heroes2[[#This Row],[Talent Level]]/INDEX(validation.talent[max],MATCH(heroes2[[#This Row],[Talent]],validation.talent[talent],0)),-1)</f>
        <v>-1</v>
      </c>
    </row>
    <row r="7" spans="1:12" x14ac:dyDescent="0.2">
      <c r="A7" s="25"/>
      <c r="B7" s="9"/>
      <c r="C7" s="1"/>
      <c r="D7" s="8"/>
      <c r="E7" s="1"/>
      <c r="F7" s="9"/>
      <c r="G7" s="9"/>
      <c r="H7" s="22"/>
      <c r="I7" s="1"/>
      <c r="J7" s="23"/>
      <c r="K7" s="10">
        <f>+_xlfn.IFNA(heroes2[[#This Row],[Talent Level]]/INDEX(validation.talent[max],MATCH(heroes2[[#This Row],[Talent]],validation.talent[talent],0)),-1)</f>
        <v>-1</v>
      </c>
    </row>
    <row r="8" spans="1:12" x14ac:dyDescent="0.2">
      <c r="A8" s="25"/>
      <c r="B8" s="9"/>
      <c r="C8" s="1"/>
      <c r="D8" s="8"/>
      <c r="E8" s="1"/>
      <c r="F8" s="9"/>
      <c r="G8" s="9"/>
      <c r="H8" s="21"/>
      <c r="I8" s="1"/>
      <c r="J8" s="23"/>
      <c r="K8" s="10">
        <f>+_xlfn.IFNA(heroes2[[#This Row],[Talent Level]]/INDEX(validation.talent[max],MATCH(heroes2[[#This Row],[Talent]],validation.talent[talent],0)),-1)</f>
        <v>-1</v>
      </c>
    </row>
    <row r="9" spans="1:12" x14ac:dyDescent="0.2">
      <c r="A9" s="25"/>
      <c r="B9" s="9"/>
      <c r="C9" s="1"/>
      <c r="D9" s="8"/>
      <c r="E9" s="1"/>
      <c r="F9" s="9"/>
      <c r="G9" s="9"/>
      <c r="H9" s="22"/>
      <c r="I9" s="1"/>
      <c r="J9" s="23"/>
      <c r="K9" s="10">
        <f>+_xlfn.IFNA(heroes2[[#This Row],[Talent Level]]/INDEX(validation.talent[max],MATCH(heroes2[[#This Row],[Talent]],validation.talent[talent],0)),-1)</f>
        <v>-1</v>
      </c>
    </row>
    <row r="10" spans="1:12" x14ac:dyDescent="0.2">
      <c r="A10" s="25"/>
      <c r="B10" s="9"/>
      <c r="C10" s="1"/>
      <c r="D10" s="8"/>
      <c r="E10" s="1"/>
      <c r="F10" s="9"/>
      <c r="G10" s="9"/>
      <c r="H10" s="21"/>
      <c r="I10" s="1"/>
      <c r="J10" s="23"/>
      <c r="K10" s="10">
        <f>+_xlfn.IFNA(heroes2[[#This Row],[Talent Level]]/INDEX(validation.talent[max],MATCH(heroes2[[#This Row],[Talent]],validation.talent[talent],0)),-1)</f>
        <v>-1</v>
      </c>
    </row>
    <row r="11" spans="1:12" x14ac:dyDescent="0.2">
      <c r="A11" s="25"/>
      <c r="B11" s="9"/>
      <c r="C11" s="1"/>
      <c r="D11" s="8"/>
      <c r="E11" s="1"/>
      <c r="F11" s="9"/>
      <c r="G11" s="9"/>
      <c r="H11" s="22"/>
      <c r="I11" s="1"/>
      <c r="J11" s="23"/>
      <c r="K11" s="10">
        <f>+_xlfn.IFNA(heroes2[[#This Row],[Talent Level]]/INDEX(validation.talent[max],MATCH(heroes2[[#This Row],[Talent]],validation.talent[talent],0)),-1)</f>
        <v>-1</v>
      </c>
    </row>
    <row r="12" spans="1:12" x14ac:dyDescent="0.2">
      <c r="A12" s="25"/>
      <c r="B12" s="9"/>
      <c r="C12" s="1"/>
      <c r="D12" s="8"/>
      <c r="E12" s="1"/>
      <c r="F12" s="9"/>
      <c r="G12" s="9"/>
      <c r="H12" s="21"/>
      <c r="I12" s="1"/>
      <c r="J12" s="23"/>
      <c r="K12" s="10">
        <f>+_xlfn.IFNA(heroes2[[#This Row],[Talent Level]]/INDEX(validation.talent[max],MATCH(heroes2[[#This Row],[Talent]],validation.talent[talent],0)),-1)</f>
        <v>-1</v>
      </c>
    </row>
    <row r="13" spans="1:12" x14ac:dyDescent="0.2">
      <c r="A13" s="25"/>
      <c r="B13" s="9"/>
      <c r="C13" s="1"/>
      <c r="D13" s="8"/>
      <c r="E13" s="1"/>
      <c r="F13" s="9"/>
      <c r="G13" s="9"/>
      <c r="H13" s="22"/>
      <c r="I13" s="1"/>
      <c r="J13" s="23"/>
      <c r="K13" s="10">
        <f>+_xlfn.IFNA(heroes2[[#This Row],[Talent Level]]/INDEX(validation.talent[max],MATCH(heroes2[[#This Row],[Talent]],validation.talent[talent],0)),-1)</f>
        <v>-1</v>
      </c>
    </row>
    <row r="14" spans="1:12" x14ac:dyDescent="0.2">
      <c r="A14" s="25"/>
      <c r="B14" s="9"/>
      <c r="C14" s="1"/>
      <c r="D14" s="8"/>
      <c r="E14" s="1"/>
      <c r="F14" s="9"/>
      <c r="G14" s="9"/>
      <c r="H14" s="21"/>
      <c r="I14" s="1"/>
      <c r="J14" s="23"/>
      <c r="K14" s="10">
        <f>+_xlfn.IFNA(heroes2[[#This Row],[Talent Level]]/INDEX(validation.talent[max],MATCH(heroes2[[#This Row],[Talent]],validation.talent[talent],0)),-1)</f>
        <v>-1</v>
      </c>
    </row>
    <row r="15" spans="1:12" x14ac:dyDescent="0.2">
      <c r="A15" s="25"/>
      <c r="B15" s="9"/>
      <c r="C15" s="1"/>
      <c r="D15" s="8"/>
      <c r="E15" s="1"/>
      <c r="F15" s="9"/>
      <c r="G15" s="9"/>
      <c r="H15" s="22"/>
      <c r="I15" s="1"/>
      <c r="J15" s="23"/>
      <c r="K15" s="10">
        <f>+_xlfn.IFNA(heroes2[[#This Row],[Talent Level]]/INDEX(validation.talent[max],MATCH(heroes2[[#This Row],[Talent]],validation.talent[talent],0)),-1)</f>
        <v>-1</v>
      </c>
    </row>
    <row r="16" spans="1:12" x14ac:dyDescent="0.2">
      <c r="A16" s="25"/>
      <c r="B16" s="9"/>
      <c r="C16" s="1"/>
      <c r="D16" s="8"/>
      <c r="E16" s="1"/>
      <c r="F16" s="9"/>
      <c r="G16" s="9"/>
      <c r="H16" s="21"/>
      <c r="I16" s="1"/>
      <c r="J16" s="23"/>
      <c r="K16" s="10">
        <f>+_xlfn.IFNA(heroes2[[#This Row],[Talent Level]]/INDEX(validation.talent[max],MATCH(heroes2[[#This Row],[Talent]],validation.talent[talent],0)),-1)</f>
        <v>-1</v>
      </c>
    </row>
    <row r="17" spans="1:11" x14ac:dyDescent="0.2">
      <c r="A17" s="25"/>
      <c r="B17" s="9"/>
      <c r="C17" s="1"/>
      <c r="D17" s="8"/>
      <c r="E17" s="1"/>
      <c r="F17" s="9"/>
      <c r="G17" s="9"/>
      <c r="H17" s="22"/>
      <c r="I17" s="1"/>
      <c r="J17" s="23"/>
      <c r="K17" s="10">
        <f>+_xlfn.IFNA(heroes2[[#This Row],[Talent Level]]/INDEX(validation.talent[max],MATCH(heroes2[[#This Row],[Talent]],validation.talent[talent],0)),-1)</f>
        <v>-1</v>
      </c>
    </row>
    <row r="18" spans="1:11" x14ac:dyDescent="0.2">
      <c r="A18" s="25"/>
      <c r="B18" s="9"/>
      <c r="C18" s="1"/>
      <c r="D18" s="8"/>
      <c r="E18" s="1"/>
      <c r="F18" s="9"/>
      <c r="G18" s="9"/>
      <c r="H18" s="21"/>
      <c r="I18" s="1"/>
      <c r="J18" s="23"/>
      <c r="K18" s="10">
        <f>+_xlfn.IFNA(heroes2[[#This Row],[Talent Level]]/INDEX(validation.talent[max],MATCH(heroes2[[#This Row],[Talent]],validation.talent[talent],0)),-1)</f>
        <v>-1</v>
      </c>
    </row>
    <row r="19" spans="1:11" x14ac:dyDescent="0.2">
      <c r="A19" s="25"/>
      <c r="B19" s="9"/>
      <c r="C19" s="1"/>
      <c r="D19" s="8"/>
      <c r="E19" s="1"/>
      <c r="F19" s="9"/>
      <c r="G19" s="9"/>
      <c r="H19" s="22"/>
      <c r="I19" s="1"/>
      <c r="J19" s="23"/>
      <c r="K19" s="10">
        <f>+_xlfn.IFNA(heroes2[[#This Row],[Talent Level]]/INDEX(validation.talent[max],MATCH(heroes2[[#This Row],[Talent]],validation.talent[talent],0)),-1)</f>
        <v>-1</v>
      </c>
    </row>
    <row r="20" spans="1:11" x14ac:dyDescent="0.2">
      <c r="A20" s="25"/>
      <c r="B20" s="9"/>
      <c r="C20" s="1"/>
      <c r="D20" s="8"/>
      <c r="E20" s="1"/>
      <c r="F20" s="9"/>
      <c r="G20" s="9"/>
      <c r="H20" s="21"/>
      <c r="I20" s="1"/>
      <c r="J20" s="23"/>
      <c r="K20" s="10">
        <f>+_xlfn.IFNA(heroes2[[#This Row],[Talent Level]]/INDEX(validation.talent[max],MATCH(heroes2[[#This Row],[Talent]],validation.talent[talent],0)),-1)</f>
        <v>-1</v>
      </c>
    </row>
    <row r="21" spans="1:11" x14ac:dyDescent="0.2">
      <c r="A21" s="25"/>
      <c r="B21" s="9"/>
      <c r="C21" s="1"/>
      <c r="D21" s="8"/>
      <c r="E21" s="1"/>
      <c r="F21" s="9"/>
      <c r="G21" s="9"/>
      <c r="H21" s="22"/>
      <c r="I21" s="1"/>
      <c r="J21" s="23"/>
      <c r="K21" s="10">
        <f>+_xlfn.IFNA(heroes2[[#This Row],[Talent Level]]/INDEX(validation.talent[max],MATCH(heroes2[[#This Row],[Talent]],validation.talent[talent],0)),-1)</f>
        <v>-1</v>
      </c>
    </row>
    <row r="22" spans="1:11" x14ac:dyDescent="0.2">
      <c r="A22" s="25"/>
      <c r="B22" s="9"/>
      <c r="C22" s="1"/>
      <c r="D22" s="8"/>
      <c r="E22" s="1"/>
      <c r="F22" s="9"/>
      <c r="G22" s="9"/>
      <c r="H22" s="21"/>
      <c r="I22" s="1"/>
      <c r="J22" s="23"/>
      <c r="K22" s="10">
        <f>+_xlfn.IFNA(heroes2[[#This Row],[Talent Level]]/INDEX(validation.talent[max],MATCH(heroes2[[#This Row],[Talent]],validation.talent[talent],0)),-1)</f>
        <v>-1</v>
      </c>
    </row>
    <row r="23" spans="1:11" x14ac:dyDescent="0.2">
      <c r="A23" s="25"/>
      <c r="B23" s="9"/>
      <c r="C23" s="1"/>
      <c r="D23" s="8"/>
      <c r="E23" s="1"/>
      <c r="F23" s="9"/>
      <c r="G23" s="9"/>
      <c r="H23" s="22"/>
      <c r="I23" s="1"/>
      <c r="J23" s="23"/>
      <c r="K23" s="10">
        <f>+_xlfn.IFNA(heroes2[[#This Row],[Talent Level]]/INDEX(validation.talent[max],MATCH(heroes2[[#This Row],[Talent]],validation.talent[talent],0)),-1)</f>
        <v>-1</v>
      </c>
    </row>
    <row r="24" spans="1:11" x14ac:dyDescent="0.2">
      <c r="A24" s="25"/>
      <c r="B24" s="9"/>
      <c r="C24" s="1"/>
      <c r="D24" s="8"/>
      <c r="E24" s="1"/>
      <c r="F24" s="9"/>
      <c r="G24" s="9"/>
      <c r="H24" s="21"/>
      <c r="I24" s="1"/>
      <c r="J24" s="23"/>
      <c r="K24" s="10">
        <f>+_xlfn.IFNA(heroes2[[#This Row],[Talent Level]]/INDEX(validation.talent[max],MATCH(heroes2[[#This Row],[Talent]],validation.talent[talent],0)),-1)</f>
        <v>-1</v>
      </c>
    </row>
    <row r="25" spans="1:11" x14ac:dyDescent="0.2">
      <c r="A25" s="25"/>
      <c r="B25" s="9"/>
      <c r="C25" s="1"/>
      <c r="D25" s="8"/>
      <c r="E25" s="1"/>
      <c r="F25" s="9"/>
      <c r="G25" s="9"/>
      <c r="H25" s="22"/>
      <c r="I25" s="1"/>
      <c r="J25" s="23"/>
      <c r="K25" s="10">
        <f>+_xlfn.IFNA(heroes2[[#This Row],[Talent Level]]/INDEX(validation.talent[max],MATCH(heroes2[[#This Row],[Talent]],validation.talent[talent],0)),-1)</f>
        <v>-1</v>
      </c>
    </row>
    <row r="26" spans="1:11" x14ac:dyDescent="0.2">
      <c r="A26" s="25"/>
      <c r="B26" s="9"/>
      <c r="C26" s="1"/>
      <c r="D26" s="8"/>
      <c r="E26" s="1"/>
      <c r="F26" s="9"/>
      <c r="G26" s="9"/>
      <c r="H26" s="21"/>
      <c r="I26" s="1"/>
      <c r="J26" s="23"/>
      <c r="K26" s="10">
        <f>+_xlfn.IFNA(heroes2[[#This Row],[Talent Level]]/INDEX(validation.talent[max],MATCH(heroes2[[#This Row],[Talent]],validation.talent[talent],0)),-1)</f>
        <v>-1</v>
      </c>
    </row>
    <row r="27" spans="1:11" x14ac:dyDescent="0.2">
      <c r="A27" s="25"/>
      <c r="B27" s="9"/>
      <c r="C27" s="1"/>
      <c r="D27" s="8"/>
      <c r="E27" s="1"/>
      <c r="F27" s="9"/>
      <c r="G27" s="9"/>
      <c r="H27" s="22"/>
      <c r="I27" s="1"/>
      <c r="J27" s="23"/>
      <c r="K27" s="10">
        <f>+_xlfn.IFNA(heroes2[[#This Row],[Talent Level]]/INDEX(validation.talent[max],MATCH(heroes2[[#This Row],[Talent]],validation.talent[talent],0)),-1)</f>
        <v>-1</v>
      </c>
    </row>
    <row r="28" spans="1:11" x14ac:dyDescent="0.2">
      <c r="A28" s="25"/>
      <c r="B28" s="9"/>
      <c r="C28" s="1"/>
      <c r="D28" s="8"/>
      <c r="E28" s="1"/>
      <c r="F28" s="9"/>
      <c r="G28" s="9"/>
      <c r="H28" s="21"/>
      <c r="I28" s="1"/>
      <c r="J28" s="23"/>
      <c r="K28" s="10">
        <f>+_xlfn.IFNA(heroes2[[#This Row],[Talent Level]]/INDEX(validation.talent[max],MATCH(heroes2[[#This Row],[Talent]],validation.talent[talent],0)),-1)</f>
        <v>-1</v>
      </c>
    </row>
    <row r="29" spans="1:11" x14ac:dyDescent="0.2">
      <c r="A29" s="25"/>
      <c r="B29" s="9"/>
      <c r="C29" s="1"/>
      <c r="D29" s="8"/>
      <c r="E29" s="1"/>
      <c r="F29" s="9"/>
      <c r="G29" s="9"/>
      <c r="H29" s="22"/>
      <c r="I29" s="1"/>
      <c r="J29" s="23"/>
      <c r="K29" s="10">
        <f>+_xlfn.IFNA(heroes2[[#This Row],[Talent Level]]/INDEX(validation.talent[max],MATCH(heroes2[[#This Row],[Talent]],validation.talent[talent],0)),-1)</f>
        <v>-1</v>
      </c>
    </row>
    <row r="30" spans="1:11" x14ac:dyDescent="0.2">
      <c r="A30" s="25"/>
      <c r="B30" s="9"/>
      <c r="C30" s="1"/>
      <c r="D30" s="8"/>
      <c r="E30" s="1"/>
      <c r="F30" s="9"/>
      <c r="G30" s="9"/>
      <c r="H30" s="21"/>
      <c r="I30" s="1"/>
      <c r="J30" s="23"/>
      <c r="K30" s="10">
        <f>+_xlfn.IFNA(heroes2[[#This Row],[Talent Level]]/INDEX(validation.talent[max],MATCH(heroes2[[#This Row],[Talent]],validation.talent[talent],0)),-1)</f>
        <v>-1</v>
      </c>
    </row>
    <row r="31" spans="1:11" x14ac:dyDescent="0.2">
      <c r="A31" s="25"/>
      <c r="B31" s="9"/>
      <c r="C31" s="1"/>
      <c r="D31" s="8"/>
      <c r="E31" s="1"/>
      <c r="F31" s="9"/>
      <c r="G31" s="9"/>
      <c r="H31" s="22"/>
      <c r="I31" s="1"/>
      <c r="J31" s="23"/>
      <c r="K31" s="10">
        <f>+_xlfn.IFNA(heroes2[[#This Row],[Talent Level]]/INDEX(validation.talent[max],MATCH(heroes2[[#This Row],[Talent]],validation.talent[talent],0)),-1)</f>
        <v>-1</v>
      </c>
    </row>
    <row r="32" spans="1:11" x14ac:dyDescent="0.2">
      <c r="A32" s="25"/>
      <c r="B32" s="9"/>
      <c r="C32" s="1"/>
      <c r="D32" s="8"/>
      <c r="E32" s="1"/>
      <c r="F32" s="9"/>
      <c r="G32" s="9"/>
      <c r="H32" s="21"/>
      <c r="I32" s="1"/>
      <c r="J32" s="23"/>
      <c r="K32" s="10">
        <f>+_xlfn.IFNA(heroes2[[#This Row],[Talent Level]]/INDEX(validation.talent[max],MATCH(heroes2[[#This Row],[Talent]],validation.talent[talent],0)),-1)</f>
        <v>-1</v>
      </c>
    </row>
    <row r="33" spans="1:11" x14ac:dyDescent="0.2">
      <c r="A33" s="25"/>
      <c r="B33" s="9"/>
      <c r="C33" s="1"/>
      <c r="D33" s="8"/>
      <c r="E33" s="1"/>
      <c r="F33" s="9"/>
      <c r="G33" s="9"/>
      <c r="H33" s="22"/>
      <c r="I33" s="1"/>
      <c r="J33" s="23"/>
      <c r="K33" s="10">
        <f>+_xlfn.IFNA(heroes2[[#This Row],[Talent Level]]/INDEX(validation.talent[max],MATCH(heroes2[[#This Row],[Talent]],validation.talent[talent],0)),-1)</f>
        <v>-1</v>
      </c>
    </row>
    <row r="34" spans="1:11" x14ac:dyDescent="0.2">
      <c r="A34" s="25"/>
      <c r="B34" s="9"/>
      <c r="C34" s="1"/>
      <c r="D34" s="8"/>
      <c r="E34" s="1"/>
      <c r="F34" s="9"/>
      <c r="G34" s="9"/>
      <c r="H34" s="21"/>
      <c r="I34" s="1"/>
      <c r="J34" s="23"/>
      <c r="K34" s="10">
        <f>+_xlfn.IFNA(heroes2[[#This Row],[Talent Level]]/INDEX(validation.talent[max],MATCH(heroes2[[#This Row],[Talent]],validation.talent[talent],0)),-1)</f>
        <v>-1</v>
      </c>
    </row>
    <row r="35" spans="1:11" x14ac:dyDescent="0.2">
      <c r="A35" s="25"/>
      <c r="B35" s="9"/>
      <c r="C35" s="1"/>
      <c r="D35" s="8"/>
      <c r="E35" s="1"/>
      <c r="F35" s="9"/>
      <c r="G35" s="9"/>
      <c r="H35" s="22"/>
      <c r="I35" s="1"/>
      <c r="J35" s="23"/>
      <c r="K35" s="10">
        <f>+_xlfn.IFNA(heroes2[[#This Row],[Talent Level]]/INDEX(validation.talent[max],MATCH(heroes2[[#This Row],[Talent]],validation.talent[talent],0)),-1)</f>
        <v>-1</v>
      </c>
    </row>
    <row r="36" spans="1:11" x14ac:dyDescent="0.2">
      <c r="A36" s="25"/>
      <c r="B36" s="9"/>
      <c r="C36" s="1"/>
      <c r="D36" s="8"/>
      <c r="E36" s="1"/>
      <c r="F36" s="9"/>
      <c r="G36" s="9"/>
      <c r="H36" s="21"/>
      <c r="I36" s="1"/>
      <c r="J36" s="23"/>
      <c r="K36" s="10">
        <f>+_xlfn.IFNA(heroes2[[#This Row],[Talent Level]]/INDEX(validation.talent[max],MATCH(heroes2[[#This Row],[Talent]],validation.talent[talent],0)),-1)</f>
        <v>-1</v>
      </c>
    </row>
    <row r="37" spans="1:11" x14ac:dyDescent="0.2">
      <c r="A37" s="25"/>
      <c r="B37" s="9"/>
      <c r="C37" s="1"/>
      <c r="D37" s="8"/>
      <c r="E37" s="1"/>
      <c r="F37" s="9"/>
      <c r="G37" s="9"/>
      <c r="H37" s="22"/>
      <c r="I37" s="1"/>
      <c r="J37" s="23"/>
      <c r="K37" s="10">
        <f>+_xlfn.IFNA(heroes2[[#This Row],[Talent Level]]/INDEX(validation.talent[max],MATCH(heroes2[[#This Row],[Talent]],validation.talent[talent],0)),-1)</f>
        <v>-1</v>
      </c>
    </row>
    <row r="38" spans="1:11" x14ac:dyDescent="0.2">
      <c r="A38" s="25"/>
      <c r="B38" s="9"/>
      <c r="C38" s="1"/>
      <c r="D38" s="8"/>
      <c r="E38" s="1"/>
      <c r="F38" s="9"/>
      <c r="G38" s="9"/>
      <c r="H38" s="21"/>
      <c r="I38" s="1"/>
      <c r="J38" s="23"/>
      <c r="K38" s="10">
        <f>+_xlfn.IFNA(heroes2[[#This Row],[Talent Level]]/INDEX(validation.talent[max],MATCH(heroes2[[#This Row],[Talent]],validation.talent[talent],0)),-1)</f>
        <v>-1</v>
      </c>
    </row>
    <row r="39" spans="1:11" x14ac:dyDescent="0.2">
      <c r="A39" s="25"/>
      <c r="B39" s="9"/>
      <c r="C39" s="1"/>
      <c r="D39" s="8"/>
      <c r="E39" s="1"/>
      <c r="F39" s="9"/>
      <c r="G39" s="9"/>
      <c r="H39" s="22"/>
      <c r="I39" s="1"/>
      <c r="J39" s="23"/>
      <c r="K39" s="10">
        <f>+_xlfn.IFNA(heroes2[[#This Row],[Talent Level]]/INDEX(validation.talent[max],MATCH(heroes2[[#This Row],[Talent]],validation.talent[talent],0)),-1)</f>
        <v>-1</v>
      </c>
    </row>
    <row r="40" spans="1:11" x14ac:dyDescent="0.2">
      <c r="A40" s="25"/>
      <c r="B40" s="9"/>
      <c r="C40" s="1"/>
      <c r="D40" s="8"/>
      <c r="E40" s="1"/>
      <c r="F40" s="9"/>
      <c r="G40" s="9"/>
      <c r="H40" s="21"/>
      <c r="I40" s="1"/>
      <c r="J40" s="23"/>
      <c r="K40" s="10">
        <f>+_xlfn.IFNA(heroes2[[#This Row],[Talent Level]]/INDEX(validation.talent[max],MATCH(heroes2[[#This Row],[Talent]],validation.talent[talent],0)),-1)</f>
        <v>-1</v>
      </c>
    </row>
    <row r="41" spans="1:11" x14ac:dyDescent="0.2">
      <c r="A41" s="25"/>
      <c r="B41" s="9"/>
      <c r="C41" s="1"/>
      <c r="D41" s="8"/>
      <c r="E41" s="1"/>
      <c r="F41" s="9"/>
      <c r="G41" s="9"/>
      <c r="H41" s="22"/>
      <c r="I41" s="1"/>
      <c r="J41" s="23"/>
      <c r="K41" s="10">
        <f>+_xlfn.IFNA(heroes2[[#This Row],[Talent Level]]/INDEX(validation.talent[max],MATCH(heroes2[[#This Row],[Talent]],validation.talent[talent],0)),-1)</f>
        <v>-1</v>
      </c>
    </row>
    <row r="42" spans="1:11" x14ac:dyDescent="0.2">
      <c r="A42" s="25"/>
      <c r="B42" s="9"/>
      <c r="C42" s="1"/>
      <c r="D42" s="8"/>
      <c r="E42" s="1"/>
      <c r="F42" s="9"/>
      <c r="G42" s="9"/>
      <c r="H42" s="21"/>
      <c r="I42" s="1"/>
      <c r="J42" s="23"/>
      <c r="K42" s="10">
        <f>+_xlfn.IFNA(heroes2[[#This Row],[Talent Level]]/INDEX(validation.talent[max],MATCH(heroes2[[#This Row],[Talent]],validation.talent[talent],0)),-1)</f>
        <v>-1</v>
      </c>
    </row>
    <row r="43" spans="1:11" x14ac:dyDescent="0.2">
      <c r="A43" s="25"/>
      <c r="B43" s="9"/>
      <c r="C43" s="1"/>
      <c r="D43" s="8"/>
      <c r="E43" s="1"/>
      <c r="F43" s="9"/>
      <c r="G43" s="9"/>
      <c r="H43" s="22"/>
      <c r="I43" s="1"/>
      <c r="J43" s="23"/>
      <c r="K43" s="10">
        <f>+_xlfn.IFNA(heroes2[[#This Row],[Talent Level]]/INDEX(validation.talent[max],MATCH(heroes2[[#This Row],[Talent]],validation.talent[talent],0)),-1)</f>
        <v>-1</v>
      </c>
    </row>
    <row r="44" spans="1:11" x14ac:dyDescent="0.2">
      <c r="A44" s="25"/>
      <c r="B44" s="9"/>
      <c r="C44" s="1"/>
      <c r="D44" s="8"/>
      <c r="E44" s="1"/>
      <c r="F44" s="9"/>
      <c r="G44" s="9"/>
      <c r="H44" s="21"/>
      <c r="I44" s="1"/>
      <c r="J44" s="23"/>
      <c r="K44" s="10">
        <f>+_xlfn.IFNA(heroes2[[#This Row],[Talent Level]]/INDEX(validation.talent[max],MATCH(heroes2[[#This Row],[Talent]],validation.talent[talent],0)),-1)</f>
        <v>-1</v>
      </c>
    </row>
    <row r="45" spans="1:11" x14ac:dyDescent="0.2">
      <c r="A45" s="25"/>
      <c r="B45" s="9"/>
      <c r="C45" s="1"/>
      <c r="D45" s="8"/>
      <c r="E45" s="1"/>
      <c r="F45" s="9"/>
      <c r="G45" s="9"/>
      <c r="H45" s="22"/>
      <c r="I45" s="1"/>
      <c r="J45" s="23"/>
      <c r="K45" s="10">
        <f>+_xlfn.IFNA(heroes2[[#This Row],[Talent Level]]/INDEX(validation.talent[max],MATCH(heroes2[[#This Row],[Talent]],validation.talent[talent],0)),-1)</f>
        <v>-1</v>
      </c>
    </row>
    <row r="46" spans="1:11" x14ac:dyDescent="0.2">
      <c r="A46" s="25"/>
      <c r="B46" s="9"/>
      <c r="C46" s="1"/>
      <c r="D46" s="8"/>
      <c r="E46" s="1"/>
      <c r="F46" s="9"/>
      <c r="G46" s="9"/>
      <c r="H46" s="21"/>
      <c r="I46" s="1"/>
      <c r="J46" s="23"/>
      <c r="K46" s="10">
        <f>+_xlfn.IFNA(heroes2[[#This Row],[Talent Level]]/INDEX(validation.talent[max],MATCH(heroes2[[#This Row],[Talent]],validation.talent[talent],0)),-1)</f>
        <v>-1</v>
      </c>
    </row>
    <row r="47" spans="1:11" x14ac:dyDescent="0.2">
      <c r="A47" s="25"/>
      <c r="B47" s="9"/>
      <c r="C47" s="1"/>
      <c r="D47" s="8"/>
      <c r="E47" s="1"/>
      <c r="F47" s="9"/>
      <c r="G47" s="9"/>
      <c r="H47" s="22"/>
      <c r="I47" s="1"/>
      <c r="J47" s="23"/>
      <c r="K47" s="10">
        <f>+_xlfn.IFNA(heroes2[[#This Row],[Talent Level]]/INDEX(validation.talent[max],MATCH(heroes2[[#This Row],[Talent]],validation.talent[talent],0)),-1)</f>
        <v>-1</v>
      </c>
    </row>
    <row r="48" spans="1:11" x14ac:dyDescent="0.2">
      <c r="A48" s="25"/>
      <c r="B48" s="9"/>
      <c r="C48" s="1"/>
      <c r="D48" s="8"/>
      <c r="E48" s="1"/>
      <c r="F48" s="9"/>
      <c r="G48" s="9"/>
      <c r="H48" s="21"/>
      <c r="I48" s="1"/>
      <c r="J48" s="23"/>
      <c r="K48" s="10">
        <f>+_xlfn.IFNA(heroes2[[#This Row],[Talent Level]]/INDEX(validation.talent[max],MATCH(heroes2[[#This Row],[Talent]],validation.talent[talent],0)),-1)</f>
        <v>-1</v>
      </c>
    </row>
    <row r="49" spans="1:11" x14ac:dyDescent="0.2">
      <c r="A49" s="25"/>
      <c r="B49" s="9"/>
      <c r="C49" s="1"/>
      <c r="D49" s="2"/>
      <c r="E49" s="1"/>
      <c r="F49" s="9"/>
      <c r="G49" s="9"/>
      <c r="H49" s="22" t="str">
        <f>+_xlfn.IFNA(INDEX(validation.heroes[Type],MATCH(heroes2[[#This Row],[Hero]],validation.heroes[Hero],0)),"")</f>
        <v/>
      </c>
      <c r="I49" s="1"/>
      <c r="J49" s="23"/>
      <c r="K49" s="10">
        <f>+_xlfn.IFNA(heroes2[[#This Row],[Talent Level]]/INDEX(validation.talent[max],MATCH(heroes2[[#This Row],[Talent]],validation.talent[talent],0)),-1)</f>
        <v>-1</v>
      </c>
    </row>
    <row r="50" spans="1:11" x14ac:dyDescent="0.2">
      <c r="A50" s="25"/>
      <c r="B50" s="9"/>
      <c r="C50" s="1"/>
      <c r="D50" s="2"/>
      <c r="E50" s="1"/>
      <c r="F50" s="9"/>
      <c r="G50" s="9"/>
      <c r="H50" s="21" t="str">
        <f>+_xlfn.IFNA(INDEX(validation.heroes[Type],MATCH(heroes2[[#This Row],[Hero]],validation.heroes[Hero],0)),"")</f>
        <v/>
      </c>
      <c r="I50" s="1"/>
      <c r="J50" s="23"/>
      <c r="K50" s="10">
        <f>+_xlfn.IFNA(heroes2[[#This Row],[Talent Level]]/INDEX(validation.talent[max],MATCH(heroes2[[#This Row],[Talent]],validation.talent[talent],0)),-1)</f>
        <v>-1</v>
      </c>
    </row>
    <row r="51" spans="1:11" x14ac:dyDescent="0.2">
      <c r="A51" s="25"/>
      <c r="B51" s="9"/>
      <c r="C51" s="1"/>
      <c r="D51" s="2"/>
      <c r="E51" s="1"/>
      <c r="F51" s="9"/>
      <c r="G51" s="9"/>
      <c r="H51" s="22" t="str">
        <f>+_xlfn.IFNA(INDEX(validation.heroes[Type],MATCH(heroes2[[#This Row],[Hero]],validation.heroes[Hero],0)),"")</f>
        <v/>
      </c>
      <c r="I51" s="1"/>
      <c r="J51" s="23"/>
      <c r="K51" s="10">
        <f>+_xlfn.IFNA(heroes2[[#This Row],[Talent Level]]/INDEX(validation.talent[max],MATCH(heroes2[[#This Row],[Talent]],validation.talent[talent],0)),-1)</f>
        <v>-1</v>
      </c>
    </row>
    <row r="52" spans="1:11" x14ac:dyDescent="0.2">
      <c r="A52" s="25"/>
      <c r="B52" s="9"/>
      <c r="C52" s="1"/>
      <c r="D52" s="2"/>
      <c r="E52" s="1"/>
      <c r="F52" s="9"/>
      <c r="G52" s="9"/>
      <c r="H52" s="21" t="str">
        <f>+_xlfn.IFNA(INDEX(validation.heroes[Type],MATCH(heroes2[[#This Row],[Hero]],validation.heroes[Hero],0)),"")</f>
        <v/>
      </c>
      <c r="I52" s="1"/>
      <c r="J52" s="23"/>
      <c r="K52" s="10">
        <f>+_xlfn.IFNA(heroes2[[#This Row],[Talent Level]]/INDEX(validation.talent[max],MATCH(heroes2[[#This Row],[Talent]],validation.talent[talent],0)),-1)</f>
        <v>-1</v>
      </c>
    </row>
    <row r="53" spans="1:11" x14ac:dyDescent="0.2">
      <c r="A53" s="25"/>
      <c r="B53" s="9"/>
      <c r="C53" s="1"/>
      <c r="D53" s="2"/>
      <c r="E53" s="1"/>
      <c r="F53" s="9"/>
      <c r="G53" s="9"/>
      <c r="H53" s="22" t="str">
        <f>+_xlfn.IFNA(INDEX(validation.heroes[Type],MATCH(heroes2[[#This Row],[Hero]],validation.heroes[Hero],0)),"")</f>
        <v/>
      </c>
      <c r="I53" s="1"/>
      <c r="J53" s="23"/>
      <c r="K53" s="10">
        <f>+_xlfn.IFNA(heroes2[[#This Row],[Talent Level]]/INDEX(validation.talent[max],MATCH(heroes2[[#This Row],[Talent]],validation.talent[talent],0)),-1)</f>
        <v>-1</v>
      </c>
    </row>
    <row r="54" spans="1:11" x14ac:dyDescent="0.2">
      <c r="A54" s="25"/>
      <c r="B54" s="9"/>
      <c r="C54" s="1"/>
      <c r="D54" s="2"/>
      <c r="E54" s="1"/>
      <c r="F54" s="9"/>
      <c r="G54" s="9"/>
      <c r="H54" s="21" t="str">
        <f>+_xlfn.IFNA(INDEX(validation.heroes[Type],MATCH(heroes2[[#This Row],[Hero]],validation.heroes[Hero],0)),"")</f>
        <v/>
      </c>
      <c r="I54" s="1"/>
      <c r="J54" s="23"/>
      <c r="K54" s="10">
        <f>+_xlfn.IFNA(heroes2[[#This Row],[Talent Level]]/INDEX(validation.talent[max],MATCH(heroes2[[#This Row],[Talent]],validation.talent[talent],0)),-1)</f>
        <v>-1</v>
      </c>
    </row>
    <row r="55" spans="1:11" x14ac:dyDescent="0.2">
      <c r="A55" s="25"/>
      <c r="B55" s="9"/>
      <c r="C55" s="1"/>
      <c r="D55" s="2"/>
      <c r="E55" s="1"/>
      <c r="F55" s="9"/>
      <c r="G55" s="9"/>
      <c r="H55" s="22" t="str">
        <f>+_xlfn.IFNA(INDEX(validation.heroes[Type],MATCH(heroes2[[#This Row],[Hero]],validation.heroes[Hero],0)),"")</f>
        <v/>
      </c>
      <c r="I55" s="1"/>
      <c r="J55" s="23"/>
      <c r="K55" s="10">
        <f>+_xlfn.IFNA(heroes2[[#This Row],[Talent Level]]/INDEX(validation.talent[max],MATCH(heroes2[[#This Row],[Talent]],validation.talent[talent],0)),-1)</f>
        <v>-1</v>
      </c>
    </row>
    <row r="56" spans="1:11" x14ac:dyDescent="0.2">
      <c r="A56" s="25"/>
      <c r="B56" s="9"/>
      <c r="C56" s="1"/>
      <c r="D56" s="2"/>
      <c r="E56" s="1"/>
      <c r="F56" s="9"/>
      <c r="G56" s="9"/>
      <c r="H56" s="21" t="str">
        <f>+_xlfn.IFNA(INDEX(validation.heroes[Type],MATCH(heroes2[[#This Row],[Hero]],validation.heroes[Hero],0)),"")</f>
        <v/>
      </c>
      <c r="I56" s="1"/>
      <c r="J56" s="23"/>
      <c r="K56" s="10">
        <f>+_xlfn.IFNA(heroes2[[#This Row],[Talent Level]]/INDEX(validation.talent[max],MATCH(heroes2[[#This Row],[Talent]],validation.talent[talent],0)),-1)</f>
        <v>-1</v>
      </c>
    </row>
    <row r="57" spans="1:11" x14ac:dyDescent="0.2">
      <c r="A57" s="25"/>
      <c r="B57" s="9"/>
      <c r="C57" s="1"/>
      <c r="D57" s="2"/>
      <c r="E57" s="1"/>
      <c r="F57" s="9"/>
      <c r="G57" s="9"/>
      <c r="H57" s="22" t="str">
        <f>+_xlfn.IFNA(INDEX(validation.heroes[Type],MATCH(heroes2[[#This Row],[Hero]],validation.heroes[Hero],0)),"")</f>
        <v/>
      </c>
      <c r="I57" s="1"/>
      <c r="J57" s="23"/>
      <c r="K57" s="10">
        <f>+_xlfn.IFNA(heroes2[[#This Row],[Talent Level]]/INDEX(validation.talent[max],MATCH(heroes2[[#This Row],[Talent]],validation.talent[talent],0)),-1)</f>
        <v>-1</v>
      </c>
    </row>
    <row r="58" spans="1:11" x14ac:dyDescent="0.2">
      <c r="A58" s="25"/>
      <c r="B58" s="9"/>
      <c r="C58" s="1"/>
      <c r="D58" s="2"/>
      <c r="E58" s="1"/>
      <c r="F58" s="9"/>
      <c r="G58" s="9"/>
      <c r="H58" s="21" t="str">
        <f>+_xlfn.IFNA(INDEX(validation.heroes[Type],MATCH(heroes2[[#This Row],[Hero]],validation.heroes[Hero],0)),"")</f>
        <v/>
      </c>
      <c r="I58" s="1"/>
      <c r="J58" s="23"/>
      <c r="K58" s="10">
        <f>+_xlfn.IFNA(heroes2[[#This Row],[Talent Level]]/INDEX(validation.talent[max],MATCH(heroes2[[#This Row],[Talent]],validation.talent[talent],0)),-1)</f>
        <v>-1</v>
      </c>
    </row>
    <row r="59" spans="1:11" x14ac:dyDescent="0.2">
      <c r="A59" s="25"/>
      <c r="B59" s="9"/>
      <c r="C59" s="1"/>
      <c r="D59" s="2"/>
      <c r="E59" s="1"/>
      <c r="F59" s="9"/>
      <c r="G59" s="9"/>
      <c r="H59" s="22" t="str">
        <f>+_xlfn.IFNA(INDEX(validation.heroes[Type],MATCH(heroes2[[#This Row],[Hero]],validation.heroes[Hero],0)),"")</f>
        <v/>
      </c>
      <c r="I59" s="1"/>
      <c r="J59" s="23"/>
      <c r="K59" s="10">
        <f>+_xlfn.IFNA(heroes2[[#This Row],[Talent Level]]/INDEX(validation.talent[max],MATCH(heroes2[[#This Row],[Talent]],validation.talent[talent],0)),-1)</f>
        <v>-1</v>
      </c>
    </row>
    <row r="60" spans="1:11" x14ac:dyDescent="0.2">
      <c r="A60" s="25"/>
      <c r="B60" s="9"/>
      <c r="C60" s="1"/>
      <c r="D60" s="2"/>
      <c r="E60" s="1"/>
      <c r="F60" s="9"/>
      <c r="G60" s="9"/>
      <c r="H60" s="21" t="str">
        <f>+_xlfn.IFNA(INDEX(validation.heroes[Type],MATCH(heroes2[[#This Row],[Hero]],validation.heroes[Hero],0)),"")</f>
        <v/>
      </c>
      <c r="I60" s="1"/>
      <c r="J60" s="23"/>
      <c r="K60" s="10">
        <f>+_xlfn.IFNA(heroes2[[#This Row],[Talent Level]]/INDEX(validation.talent[max],MATCH(heroes2[[#This Row],[Talent]],validation.talent[talent],0)),-1)</f>
        <v>-1</v>
      </c>
    </row>
    <row r="61" spans="1:11" x14ac:dyDescent="0.2">
      <c r="A61" s="25"/>
      <c r="B61" s="9"/>
      <c r="C61" s="1"/>
      <c r="D61" s="2"/>
      <c r="E61" s="1"/>
      <c r="F61" s="9"/>
      <c r="G61" s="9"/>
      <c r="H61" s="22" t="str">
        <f>+_xlfn.IFNA(INDEX(validation.heroes[Type],MATCH(heroes2[[#This Row],[Hero]],validation.heroes[Hero],0)),"")</f>
        <v/>
      </c>
      <c r="I61" s="1"/>
      <c r="J61" s="23"/>
      <c r="K61" s="10">
        <f>+_xlfn.IFNA(heroes2[[#This Row],[Talent Level]]/INDEX(validation.talent[max],MATCH(heroes2[[#This Row],[Talent]],validation.talent[talent],0)),-1)</f>
        <v>-1</v>
      </c>
    </row>
    <row r="62" spans="1:11" x14ac:dyDescent="0.2">
      <c r="A62" s="25"/>
      <c r="B62" s="9"/>
      <c r="C62" s="1"/>
      <c r="D62" s="2"/>
      <c r="E62" s="1"/>
      <c r="F62" s="9"/>
      <c r="G62" s="9"/>
      <c r="H62" s="21" t="str">
        <f>+_xlfn.IFNA(INDEX(validation.heroes[Type],MATCH(heroes2[[#This Row],[Hero]],validation.heroes[Hero],0)),"")</f>
        <v/>
      </c>
      <c r="I62" s="1"/>
      <c r="J62" s="23"/>
      <c r="K62" s="10">
        <f>+_xlfn.IFNA(heroes2[[#This Row],[Talent Level]]/INDEX(validation.talent[max],MATCH(heroes2[[#This Row],[Talent]],validation.talent[talent],0)),-1)</f>
        <v>-1</v>
      </c>
    </row>
    <row r="63" spans="1:11" x14ac:dyDescent="0.2">
      <c r="A63" s="25"/>
      <c r="B63" s="9"/>
      <c r="C63" s="1"/>
      <c r="D63" s="2"/>
      <c r="E63" s="1"/>
      <c r="F63" s="9"/>
      <c r="G63" s="9"/>
      <c r="H63" s="22" t="str">
        <f>+_xlfn.IFNA(INDEX(validation.heroes[Type],MATCH(heroes2[[#This Row],[Hero]],validation.heroes[Hero],0)),"")</f>
        <v/>
      </c>
      <c r="I63" s="1"/>
      <c r="J63" s="23"/>
      <c r="K63" s="10">
        <f>+_xlfn.IFNA(heroes2[[#This Row],[Talent Level]]/INDEX(validation.talent[max],MATCH(heroes2[[#This Row],[Talent]],validation.talent[talent],0)),-1)</f>
        <v>-1</v>
      </c>
    </row>
    <row r="64" spans="1:11" x14ac:dyDescent="0.2">
      <c r="A64" s="25"/>
      <c r="B64" s="9"/>
      <c r="C64" s="1"/>
      <c r="D64" s="2"/>
      <c r="E64" s="1"/>
      <c r="F64" s="9"/>
      <c r="G64" s="9"/>
      <c r="H64" s="21" t="str">
        <f>+_xlfn.IFNA(INDEX(validation.heroes[Type],MATCH(heroes2[[#This Row],[Hero]],validation.heroes[Hero],0)),"")</f>
        <v/>
      </c>
      <c r="I64" s="1"/>
      <c r="J64" s="23"/>
      <c r="K64" s="10">
        <f>+_xlfn.IFNA(heroes2[[#This Row],[Talent Level]]/INDEX(validation.talent[max],MATCH(heroes2[[#This Row],[Talent]],validation.talent[talent],0)),-1)</f>
        <v>-1</v>
      </c>
    </row>
    <row r="65" spans="1:11" x14ac:dyDescent="0.2">
      <c r="A65" s="25"/>
      <c r="B65" s="9"/>
      <c r="C65" s="1"/>
      <c r="D65" s="2"/>
      <c r="E65" s="1"/>
      <c r="F65" s="9"/>
      <c r="G65" s="9"/>
      <c r="H65" s="22" t="str">
        <f>+_xlfn.IFNA(INDEX(validation.heroes[Type],MATCH(heroes2[[#This Row],[Hero]],validation.heroes[Hero],0)),"")</f>
        <v/>
      </c>
      <c r="I65" s="1"/>
      <c r="J65" s="23"/>
      <c r="K65" s="10">
        <f>+_xlfn.IFNA(heroes2[[#This Row],[Talent Level]]/INDEX(validation.talent[max],MATCH(heroes2[[#This Row],[Talent]],validation.talent[talent],0)),-1)</f>
        <v>-1</v>
      </c>
    </row>
    <row r="66" spans="1:11" x14ac:dyDescent="0.2">
      <c r="A66" s="25"/>
      <c r="B66" s="9"/>
      <c r="C66" s="1"/>
      <c r="D66" s="2"/>
      <c r="E66" s="1"/>
      <c r="F66" s="9"/>
      <c r="G66" s="9"/>
      <c r="H66" s="21" t="str">
        <f>+_xlfn.IFNA(INDEX(validation.heroes[Type],MATCH(heroes2[[#This Row],[Hero]],validation.heroes[Hero],0)),"")</f>
        <v/>
      </c>
      <c r="I66" s="1"/>
      <c r="J66" s="23"/>
      <c r="K66" s="10">
        <f>+_xlfn.IFNA(heroes2[[#This Row],[Talent Level]]/INDEX(validation.talent[max],MATCH(heroes2[[#This Row],[Talent]],validation.talent[talent],0)),-1)</f>
        <v>-1</v>
      </c>
    </row>
    <row r="67" spans="1:11" x14ac:dyDescent="0.2">
      <c r="A67" s="25"/>
      <c r="B67" s="9"/>
      <c r="C67" s="1"/>
      <c r="D67" s="2"/>
      <c r="E67" s="1"/>
      <c r="F67" s="9"/>
      <c r="G67" s="9"/>
      <c r="H67" s="22" t="str">
        <f>+_xlfn.IFNA(INDEX(validation.heroes[Type],MATCH(heroes2[[#This Row],[Hero]],validation.heroes[Hero],0)),"")</f>
        <v/>
      </c>
      <c r="I67" s="1"/>
      <c r="J67" s="23"/>
      <c r="K67" s="10">
        <f>+_xlfn.IFNA(heroes2[[#This Row],[Talent Level]]/INDEX(validation.talent[max],MATCH(heroes2[[#This Row],[Talent]],validation.talent[talent],0)),-1)</f>
        <v>-1</v>
      </c>
    </row>
    <row r="68" spans="1:11" x14ac:dyDescent="0.2">
      <c r="A68" s="25"/>
      <c r="B68" s="9"/>
      <c r="C68" s="1"/>
      <c r="D68" s="2"/>
      <c r="E68" s="1"/>
      <c r="F68" s="9"/>
      <c r="G68" s="9"/>
      <c r="H68" s="21" t="str">
        <f>+_xlfn.IFNA(INDEX(validation.heroes[Type],MATCH(heroes2[[#This Row],[Hero]],validation.heroes[Hero],0)),"")</f>
        <v/>
      </c>
      <c r="I68" s="1"/>
      <c r="J68" s="23"/>
      <c r="K68" s="10">
        <f>+_xlfn.IFNA(heroes2[[#This Row],[Talent Level]]/INDEX(validation.talent[max],MATCH(heroes2[[#This Row],[Talent]],validation.talent[talent],0)),-1)</f>
        <v>-1</v>
      </c>
    </row>
    <row r="69" spans="1:11" x14ac:dyDescent="0.2">
      <c r="A69" s="25"/>
      <c r="B69" s="9"/>
      <c r="C69" s="1"/>
      <c r="D69" s="2"/>
      <c r="E69" s="1"/>
      <c r="F69" s="9"/>
      <c r="G69" s="9"/>
      <c r="H69" s="22" t="str">
        <f>+_xlfn.IFNA(INDEX(validation.heroes[Type],MATCH(heroes2[[#This Row],[Hero]],validation.heroes[Hero],0)),"")</f>
        <v/>
      </c>
      <c r="I69" s="1"/>
      <c r="J69" s="23"/>
      <c r="K69" s="10">
        <f>+_xlfn.IFNA(heroes2[[#This Row],[Talent Level]]/INDEX(validation.talent[max],MATCH(heroes2[[#This Row],[Talent]],validation.talent[talent],0)),-1)</f>
        <v>-1</v>
      </c>
    </row>
    <row r="70" spans="1:11" x14ac:dyDescent="0.2">
      <c r="A70" s="25"/>
      <c r="B70" s="9"/>
      <c r="C70" s="1"/>
      <c r="D70" s="2"/>
      <c r="E70" s="1"/>
      <c r="F70" s="9"/>
      <c r="G70" s="9"/>
      <c r="H70" s="21" t="str">
        <f>+_xlfn.IFNA(INDEX(validation.heroes[Type],MATCH(heroes2[[#This Row],[Hero]],validation.heroes[Hero],0)),"")</f>
        <v/>
      </c>
      <c r="I70" s="1"/>
      <c r="J70" s="23"/>
      <c r="K70" s="10">
        <f>+_xlfn.IFNA(heroes2[[#This Row],[Talent Level]]/INDEX(validation.talent[max],MATCH(heroes2[[#This Row],[Talent]],validation.talent[talent],0)),-1)</f>
        <v>-1</v>
      </c>
    </row>
    <row r="71" spans="1:11" x14ac:dyDescent="0.2">
      <c r="A71" s="25"/>
      <c r="B71" s="9"/>
      <c r="C71" s="1"/>
      <c r="D71" s="2"/>
      <c r="E71" s="1"/>
      <c r="F71" s="9"/>
      <c r="G71" s="9"/>
      <c r="H71" s="22" t="str">
        <f>+_xlfn.IFNA(INDEX(validation.heroes[Type],MATCH(heroes2[[#This Row],[Hero]],validation.heroes[Hero],0)),"")</f>
        <v/>
      </c>
      <c r="I71" s="1"/>
      <c r="J71" s="23"/>
      <c r="K71" s="10">
        <f>+_xlfn.IFNA(heroes2[[#This Row],[Talent Level]]/INDEX(validation.talent[max],MATCH(heroes2[[#This Row],[Talent]],validation.talent[talent],0)),-1)</f>
        <v>-1</v>
      </c>
    </row>
    <row r="72" spans="1:11" x14ac:dyDescent="0.2">
      <c r="A72" s="25"/>
      <c r="B72" s="9"/>
      <c r="C72" s="1"/>
      <c r="D72" s="2"/>
      <c r="E72" s="1"/>
      <c r="F72" s="9"/>
      <c r="G72" s="9"/>
      <c r="H72" s="21" t="str">
        <f>+_xlfn.IFNA(INDEX(validation.heroes[Type],MATCH(heroes2[[#This Row],[Hero]],validation.heroes[Hero],0)),"")</f>
        <v/>
      </c>
      <c r="I72" s="1"/>
      <c r="J72" s="23"/>
      <c r="K72" s="10">
        <f>+_xlfn.IFNA(heroes2[[#This Row],[Talent Level]]/INDEX(validation.talent[max],MATCH(heroes2[[#This Row],[Talent]],validation.talent[talent],0)),-1)</f>
        <v>-1</v>
      </c>
    </row>
    <row r="73" spans="1:11" x14ac:dyDescent="0.2">
      <c r="A73" s="25"/>
      <c r="B73" s="9"/>
      <c r="C73" s="1"/>
      <c r="D73" s="2"/>
      <c r="E73" s="1"/>
      <c r="F73" s="9"/>
      <c r="G73" s="9"/>
      <c r="H73" s="22" t="str">
        <f>+_xlfn.IFNA(INDEX(validation.heroes[Type],MATCH(heroes2[[#This Row],[Hero]],validation.heroes[Hero],0)),"")</f>
        <v/>
      </c>
      <c r="I73" s="1"/>
      <c r="J73" s="23"/>
      <c r="K73" s="10">
        <f>+_xlfn.IFNA(heroes2[[#This Row],[Talent Level]]/INDEX(validation.talent[max],MATCH(heroes2[[#This Row],[Talent]],validation.talent[talent],0)),-1)</f>
        <v>-1</v>
      </c>
    </row>
    <row r="74" spans="1:11" x14ac:dyDescent="0.2">
      <c r="A74" s="25"/>
      <c r="B74" s="9"/>
      <c r="C74" s="1"/>
      <c r="D74" s="2"/>
      <c r="E74" s="1"/>
      <c r="F74" s="9"/>
      <c r="G74" s="9"/>
      <c r="H74" s="21" t="str">
        <f>+_xlfn.IFNA(INDEX(validation.heroes[Type],MATCH(heroes2[[#This Row],[Hero]],validation.heroes[Hero],0)),"")</f>
        <v/>
      </c>
      <c r="I74" s="1"/>
      <c r="J74" s="23"/>
      <c r="K74" s="10">
        <f>+_xlfn.IFNA(heroes2[[#This Row],[Talent Level]]/INDEX(validation.talent[max],MATCH(heroes2[[#This Row],[Talent]],validation.talent[talent],0)),-1)</f>
        <v>-1</v>
      </c>
    </row>
    <row r="75" spans="1:11" x14ac:dyDescent="0.2">
      <c r="A75" s="25"/>
      <c r="B75" s="9"/>
      <c r="C75" s="1"/>
      <c r="D75" s="2"/>
      <c r="E75" s="1"/>
      <c r="F75" s="9"/>
      <c r="G75" s="9"/>
      <c r="H75" s="22" t="str">
        <f>+_xlfn.IFNA(INDEX(validation.heroes[Type],MATCH(heroes2[[#This Row],[Hero]],validation.heroes[Hero],0)),"")</f>
        <v/>
      </c>
      <c r="I75" s="1"/>
      <c r="J75" s="23"/>
      <c r="K75" s="10">
        <f>+_xlfn.IFNA(heroes2[[#This Row],[Talent Level]]/INDEX(validation.talent[max],MATCH(heroes2[[#This Row],[Talent]],validation.talent[talent],0)),-1)</f>
        <v>-1</v>
      </c>
    </row>
  </sheetData>
  <sheetProtection sort="0"/>
  <protectedRanges>
    <protectedRange sqref="A2:G75 I2:J75" name="unprotected.heroes"/>
  </protectedRanges>
  <conditionalFormatting sqref="H49:H75">
    <cfRule type="containsText" dxfId="221" priority="18" operator="containsText" text="3 - Ordinary">
      <formula>NOT(ISERROR(SEARCH("3 - Ordinary",H49)))</formula>
    </cfRule>
    <cfRule type="containsText" dxfId="220" priority="19" operator="containsText" text="2 - Elite">
      <formula>NOT(ISERROR(SEARCH("2 - Elite",H49)))</formula>
    </cfRule>
    <cfRule type="containsText" dxfId="219" priority="20" operator="containsText" text="1 - Legend">
      <formula>NOT(ISERROR(SEARCH("1 - Legend",H49)))</formula>
    </cfRule>
  </conditionalFormatting>
  <conditionalFormatting sqref="B49:B75">
    <cfRule type="colorScale" priority="17">
      <colorScale>
        <cfvo type="num" val="1"/>
        <cfvo type="percentile" val="50"/>
        <cfvo type="num" val="200"/>
        <color rgb="FFF8696B"/>
        <color rgb="FFFFEB84"/>
        <color rgb="FF63BE7B"/>
      </colorScale>
    </cfRule>
  </conditionalFormatting>
  <conditionalFormatting sqref="D49:D75">
    <cfRule type="colorScale" priority="16">
      <colorScale>
        <cfvo type="num" val="1"/>
        <cfvo type="percentile" val="50"/>
        <cfvo type="num" val="10"/>
        <color rgb="FFF8696B"/>
        <color rgb="FFFFEB84"/>
        <color rgb="FF63BE7B"/>
      </colorScale>
    </cfRule>
  </conditionalFormatting>
  <conditionalFormatting sqref="J49:J75">
    <cfRule type="colorScale" priority="15">
      <colorScale>
        <cfvo type="num" val="1"/>
        <cfvo type="percentile" val="50"/>
        <cfvo type="num" val="5"/>
        <color rgb="FFF8696B"/>
        <color rgb="FFFFEB84"/>
        <color rgb="FF63BE7B"/>
      </colorScale>
    </cfRule>
  </conditionalFormatting>
  <conditionalFormatting sqref="G49:G75">
    <cfRule type="colorScale" priority="14">
      <colorScale>
        <cfvo type="num" val="0"/>
        <cfvo type="percentile" val="50"/>
        <cfvo type="num" val="100"/>
        <color rgb="FFF8696B"/>
        <color rgb="FFFFEB84"/>
        <color rgb="FF63BE7B"/>
      </colorScale>
    </cfRule>
  </conditionalFormatting>
  <conditionalFormatting sqref="F49:F75">
    <cfRule type="expression" dxfId="218" priority="1">
      <formula>K49&gt;1</formula>
    </cfRule>
    <cfRule type="expression" dxfId="217" priority="2">
      <formula>K49=1</formula>
    </cfRule>
    <cfRule type="expression" dxfId="216" priority="3">
      <formula>K49=0.875</formula>
    </cfRule>
    <cfRule type="expression" dxfId="215" priority="4">
      <formula>K49=0.8</formula>
    </cfRule>
    <cfRule type="expression" dxfId="214" priority="5">
      <formula>K49=0.75</formula>
    </cfRule>
    <cfRule type="expression" dxfId="213" priority="6">
      <formula>K49=0.625</formula>
    </cfRule>
    <cfRule type="expression" dxfId="212" priority="7">
      <formula>K49=0.6</formula>
    </cfRule>
    <cfRule type="expression" dxfId="211" priority="8">
      <formula>K49=0.5</formula>
    </cfRule>
    <cfRule type="expression" dxfId="210" priority="9">
      <formula>K49=0.4</formula>
    </cfRule>
    <cfRule type="expression" dxfId="209" priority="10">
      <formula>K49=0.375</formula>
    </cfRule>
    <cfRule type="expression" dxfId="208" priority="11">
      <formula>K49=0.25</formula>
    </cfRule>
    <cfRule type="expression" dxfId="207" priority="12">
      <formula>K49=0.2</formula>
    </cfRule>
    <cfRule type="expression" dxfId="206" priority="13">
      <formula>K49=0.125</formula>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1" id="{95246B18-7F53-4A21-86F6-B2C959BA2634}">
            <xm:f>H49=validation!$B$4</xm:f>
            <x14:dxf>
              <font>
                <color theme="9"/>
              </font>
            </x14:dxf>
          </x14:cfRule>
          <x14:cfRule type="expression" priority="22" id="{90144D4F-CC9C-44BE-8A63-2AC39B0EB904}">
            <xm:f>H49=validation!$B$3</xm:f>
            <x14:dxf>
              <font>
                <color theme="8"/>
              </font>
            </x14:dxf>
          </x14:cfRule>
          <x14:cfRule type="expression" priority="23" id="{C98A152E-D691-4019-910A-433F7E257757}">
            <xm:f>H49=validation!$B$2</xm:f>
            <x14:dxf>
              <font>
                <color rgb="FF7030A0"/>
              </font>
            </x14:dxf>
          </x14:cfRule>
          <xm:sqref>A49:A75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1"/>
  <sheetViews>
    <sheetView workbookViewId="0"/>
  </sheetViews>
  <sheetFormatPr defaultRowHeight="14.25" x14ac:dyDescent="0.2"/>
  <cols>
    <col min="1" max="1" width="12" style="29" customWidth="1"/>
    <col min="2" max="2" width="15.140625" style="29" hidden="1" customWidth="1"/>
    <col min="3" max="3" width="3.7109375" style="29" customWidth="1"/>
    <col min="4" max="8" width="5.28515625" style="29" customWidth="1"/>
    <col min="9" max="9" width="6.140625" style="29" customWidth="1"/>
    <col min="10" max="10" width="5.42578125" style="29" customWidth="1"/>
    <col min="11" max="12" width="6.7109375" style="29" customWidth="1"/>
    <col min="13" max="14" width="9.140625" style="28"/>
    <col min="15" max="19" width="9.140625" style="29"/>
    <col min="20" max="20" width="11.5703125" style="29" customWidth="1"/>
    <col min="21" max="21" width="11.28515625" style="29" customWidth="1"/>
    <col min="22" max="16384" width="9.140625" style="29"/>
  </cols>
  <sheetData>
    <row r="1" spans="1:33" x14ac:dyDescent="0.2">
      <c r="A1" s="26"/>
      <c r="B1" s="26"/>
      <c r="C1" s="26"/>
      <c r="D1" s="26"/>
      <c r="E1" s="26"/>
      <c r="F1" s="26"/>
      <c r="G1" s="26"/>
      <c r="H1" s="26"/>
      <c r="I1" s="26"/>
      <c r="J1" s="27"/>
      <c r="K1" s="273" t="s">
        <v>116</v>
      </c>
      <c r="L1" s="274"/>
    </row>
    <row r="2" spans="1:33" ht="15" thickBot="1" x14ac:dyDescent="0.25">
      <c r="A2" s="32" t="s">
        <v>95</v>
      </c>
      <c r="B2" s="33" t="s">
        <v>110</v>
      </c>
      <c r="C2" s="34" t="s">
        <v>111</v>
      </c>
      <c r="D2" s="35" t="s">
        <v>96</v>
      </c>
      <c r="E2" s="36" t="s">
        <v>97</v>
      </c>
      <c r="F2" s="36" t="s">
        <v>98</v>
      </c>
      <c r="G2" s="36" t="s">
        <v>99</v>
      </c>
      <c r="H2" s="36" t="s">
        <v>100</v>
      </c>
      <c r="I2" s="37" t="s">
        <v>117</v>
      </c>
      <c r="J2" s="37" t="s">
        <v>118</v>
      </c>
      <c r="K2" s="37" t="s">
        <v>119</v>
      </c>
      <c r="L2" s="37" t="s">
        <v>120</v>
      </c>
      <c r="M2" s="38"/>
      <c r="T2" s="30" t="s">
        <v>121</v>
      </c>
      <c r="U2" s="30" t="s">
        <v>122</v>
      </c>
    </row>
    <row r="3" spans="1:33" ht="15.75" thickTop="1" thickBot="1" x14ac:dyDescent="0.25">
      <c r="A3" s="275"/>
      <c r="B3" s="29" t="s">
        <v>38</v>
      </c>
      <c r="C3" s="55" t="s">
        <v>112</v>
      </c>
      <c r="D3" s="43">
        <f t="array" ref="D3">+INDEX(crests.sets[1],MATCH(Table7109[[#This Row],[Crest.Name]],crests.sets[Crest],0))+IFERROR(INDEX(crests.warehouse.1[1],MATCH(Table7109[[#This Row],[Crest.Name]]&amp;Table7109[[#This Row],[ ]],crests.warehouse.1[Crest.Name]&amp;crests.warehouse.1[[ ]],0)),0)+IFERROR(INDEX(crests.warehouse.2[1],MATCH(Table7109[[#This Row],[Crest.Name]]&amp;Table7109[[#This Row],[ ]],crests.warehouse.2[Crest.Name]&amp;crests.warehouse.2[[ ]],0)),0)</f>
        <v>31</v>
      </c>
      <c r="E3" s="44">
        <f t="array" ref="E3">+INDEX(crests.sets[2],MATCH(Table7109[[#This Row],[Crest.Name]],crests.sets[Crest],0))+IFERROR(INDEX(crests.warehouse.1[2],MATCH(Table7109[[#This Row],[Crest.Name]]&amp;Table7109[[#This Row],[ ]],crests.warehouse.1[Crest.Name]&amp;crests.warehouse.1[[ ]],0)),0)+IFERROR(INDEX(crests.warehouse.2[2],MATCH(Table7109[[#This Row],[Crest.Name]]&amp;Table7109[[#This Row],[ ]],crests.warehouse.2[Crest.Name]&amp;crests.warehouse.2[[ ]],0)),0)</f>
        <v>1</v>
      </c>
      <c r="F3" s="44">
        <f t="array" ref="F3">+INDEX(crests.sets[3],MATCH(Table7109[[#This Row],[Crest.Name]],crests.sets[Crest],0))+IFERROR(INDEX(crests.warehouse.1[3],MATCH(Table7109[[#This Row],[Crest.Name]]&amp;Table7109[[#This Row],[ ]],crests.warehouse.1[Crest.Name]&amp;crests.warehouse.1[[ ]],0)),0)+IFERROR(INDEX(crests.warehouse.2[3],MATCH(Table7109[[#This Row],[Crest.Name]]&amp;Table7109[[#This Row],[ ]],crests.warehouse.2[Crest.Name]&amp;crests.warehouse.2[[ ]],0)),0)</f>
        <v>2</v>
      </c>
      <c r="G3" s="44">
        <f t="array" ref="G3">+INDEX(crests.sets[4],MATCH(Table7109[[#This Row],[Crest.Name]],crests.sets[Crest],0))+IFERROR(INDEX(crests.warehouse.1[4],MATCH(Table7109[[#This Row],[Crest.Name]]&amp;Table7109[[#This Row],[ ]],crests.warehouse.1[Crest.Name]&amp;crests.warehouse.1[[ ]],0)),0)+IFERROR(INDEX(crests.warehouse.2[4],MATCH(Table7109[[#This Row],[Crest.Name]]&amp;Table7109[[#This Row],[ ]],crests.warehouse.2[Crest.Name]&amp;crests.warehouse.2[[ ]],0)),0)</f>
        <v>1</v>
      </c>
      <c r="H3" s="45">
        <f t="array" ref="H3">+INDEX(crests.sets[5],MATCH(Table7109[[#This Row],[Crest.Name]],crests.sets[Crest],0))+IFERROR(INDEX(crests.warehouse.1[5],MATCH(Table7109[[#This Row],[Crest.Name]]&amp;Table7109[[#This Row],[ ]],crests.warehouse.1[Crest.Name]&amp;crests.warehouse.1[[ ]],0)),0)+IFERROR(INDEX(crests.warehouse.2[5],MATCH(Table7109[[#This Row],[Crest.Name]]&amp;Table7109[[#This Row],[ ]],crests.warehouse.2[Crest.Name]&amp;crests.warehouse.2[[ ]],0)),0)</f>
        <v>0</v>
      </c>
      <c r="I3" s="73">
        <f>+Table7109[[#This Row],[1]]+4*Table7109[[#This Row],[2]]+16*Table7109[[#This Row],[3]]+64*Table7109[[#This Row],[4]]+256*Table7109[[#This Row],[5]]</f>
        <v>131</v>
      </c>
      <c r="J3" s="3">
        <f>+IF(Table7109[[#This Row],[Total]]&lt;=4,1,IF(Table7109[[#This Row],[Total]]&lt;=16,2,IF(Table7109[[#This Row],[Total]]&lt;=64,3,IF(Table7109[[#This Row],[Total]]&lt;=256,4,5))))</f>
        <v>4</v>
      </c>
      <c r="K3" s="46">
        <f>+INDEX(crests.progress17[Crest.Qty],MATCH(SUM(Table7109[[#This Row],[Best]]+1),crests.progress17[Crest.Tier],0))-Table7109[[#This Row],[Total]]</f>
        <v>125</v>
      </c>
      <c r="L3" s="75">
        <f>+Table7109[[#This Row],[Total]]/INDEX(crests.progress17[Crest.Qty],MATCH(SUM(Table7109[[#This Row],[Best]]+1),crests.progress17[Crest.Tier],0))</f>
        <v>0.51171875</v>
      </c>
      <c r="T3" s="30">
        <v>1</v>
      </c>
      <c r="U3" s="30">
        <v>1</v>
      </c>
    </row>
    <row r="4" spans="1:33" ht="15" thickBot="1" x14ac:dyDescent="0.25">
      <c r="A4" s="276"/>
      <c r="B4" s="29" t="s">
        <v>38</v>
      </c>
      <c r="C4" s="68" t="s">
        <v>113</v>
      </c>
      <c r="D4" s="60">
        <f t="array" ref="D4">+INDEX(crests.sets[1],MATCH(Table7109[[#This Row],[Crest.Name]],crests.sets[Crest],0))+IFERROR(INDEX(crests.warehouse.1[1],MATCH(Table7109[[#This Row],[Crest.Name]]&amp;Table7109[[#This Row],[ ]],crests.warehouse.1[Crest.Name]&amp;crests.warehouse.1[[ ]],0)),0)+IFERROR(INDEX(crests.warehouse.2[1],MATCH(Table7109[[#This Row],[Crest.Name]]&amp;Table7109[[#This Row],[ ]],crests.warehouse.2[Crest.Name]&amp;crests.warehouse.2[[ ]],0)),0)</f>
        <v>46</v>
      </c>
      <c r="E4" s="61">
        <f t="array" ref="E4">+INDEX(crests.sets[2],MATCH(Table7109[[#This Row],[Crest.Name]],crests.sets[Crest],0))+IFERROR(INDEX(crests.warehouse.1[2],MATCH(Table7109[[#This Row],[Crest.Name]]&amp;Table7109[[#This Row],[ ]],crests.warehouse.1[Crest.Name]&amp;crests.warehouse.1[[ ]],0)),0)+IFERROR(INDEX(crests.warehouse.2[2],MATCH(Table7109[[#This Row],[Crest.Name]]&amp;Table7109[[#This Row],[ ]],crests.warehouse.2[Crest.Name]&amp;crests.warehouse.2[[ ]],0)),0)</f>
        <v>1</v>
      </c>
      <c r="F4" s="61">
        <f t="array" ref="F4">+INDEX(crests.sets[3],MATCH(Table7109[[#This Row],[Crest.Name]],crests.sets[Crest],0))+IFERROR(INDEX(crests.warehouse.1[3],MATCH(Table7109[[#This Row],[Crest.Name]]&amp;Table7109[[#This Row],[ ]],crests.warehouse.1[Crest.Name]&amp;crests.warehouse.1[[ ]],0)),0)+IFERROR(INDEX(crests.warehouse.2[3],MATCH(Table7109[[#This Row],[Crest.Name]]&amp;Table7109[[#This Row],[ ]],crests.warehouse.2[Crest.Name]&amp;crests.warehouse.2[[ ]],0)),0)</f>
        <v>2</v>
      </c>
      <c r="G4" s="61">
        <f t="array" ref="G4">+INDEX(crests.sets[4],MATCH(Table7109[[#This Row],[Crest.Name]],crests.sets[Crest],0))+IFERROR(INDEX(crests.warehouse.1[4],MATCH(Table7109[[#This Row],[Crest.Name]]&amp;Table7109[[#This Row],[ ]],crests.warehouse.1[Crest.Name]&amp;crests.warehouse.1[[ ]],0)),0)+IFERROR(INDEX(crests.warehouse.2[4],MATCH(Table7109[[#This Row],[Crest.Name]]&amp;Table7109[[#This Row],[ ]],crests.warehouse.2[Crest.Name]&amp;crests.warehouse.2[[ ]],0)),0)</f>
        <v>1</v>
      </c>
      <c r="H4" s="62">
        <f t="array" ref="H4">+INDEX(crests.sets[5],MATCH(Table7109[[#This Row],[Crest.Name]],crests.sets[Crest],0))+IFERROR(INDEX(crests.warehouse.1[5],MATCH(Table7109[[#This Row],[Crest.Name]]&amp;Table7109[[#This Row],[ ]],crests.warehouse.1[Crest.Name]&amp;crests.warehouse.1[[ ]],0)),0)+IFERROR(INDEX(crests.warehouse.2[5],MATCH(Table7109[[#This Row],[Crest.Name]]&amp;Table7109[[#This Row],[ ]],crests.warehouse.2[Crest.Name]&amp;crests.warehouse.2[[ ]],0)),0)</f>
        <v>0</v>
      </c>
      <c r="I4" s="73">
        <f>+Table7109[[#This Row],[1]]+4*Table7109[[#This Row],[2]]+16*Table7109[[#This Row],[3]]+64*Table7109[[#This Row],[4]]+256*Table7109[[#This Row],[5]]</f>
        <v>146</v>
      </c>
      <c r="J4" s="3">
        <f>+IF(Table7109[[#This Row],[Total]]&lt;=4,1,IF(Table7109[[#This Row],[Total]]&lt;=16,2,IF(Table7109[[#This Row],[Total]]&lt;=64,3,IF(Table7109[[#This Row],[Total]]&lt;=256,4,5))))</f>
        <v>4</v>
      </c>
      <c r="K4" s="63">
        <f>+INDEX(crests.progress17[Crest.Qty],MATCH(SUM(Table7109[[#This Row],[Best]]+1),crests.progress17[Crest.Tier],0))-Table7109[[#This Row],[Total]]</f>
        <v>110</v>
      </c>
      <c r="L4" s="75">
        <f>+Table7109[[#This Row],[Total]]/INDEX(crests.progress17[Crest.Qty],MATCH(SUM(Table7109[[#This Row],[Best]]+1),crests.progress17[Crest.Tier],0))</f>
        <v>0.5703125</v>
      </c>
      <c r="T4" s="30">
        <v>2</v>
      </c>
      <c r="U4" s="30">
        <v>4</v>
      </c>
    </row>
    <row r="5" spans="1:33" ht="15" thickBot="1" x14ac:dyDescent="0.25">
      <c r="A5" s="276"/>
      <c r="B5" s="29" t="s">
        <v>38</v>
      </c>
      <c r="C5" s="55" t="s">
        <v>114</v>
      </c>
      <c r="D5" s="43">
        <f t="array" ref="D5">+INDEX(crests.sets[1],MATCH(Table7109[[#This Row],[Crest.Name]],crests.sets[Crest],0))+IFERROR(INDEX(crests.warehouse.1[1],MATCH(Table7109[[#This Row],[Crest.Name]]&amp;Table7109[[#This Row],[ ]],crests.warehouse.1[Crest.Name]&amp;crests.warehouse.1[[ ]],0)),0)+IFERROR(INDEX(crests.warehouse.2[1],MATCH(Table7109[[#This Row],[Crest.Name]]&amp;Table7109[[#This Row],[ ]],crests.warehouse.2[Crest.Name]&amp;crests.warehouse.2[[ ]],0)),0)</f>
        <v>29</v>
      </c>
      <c r="E5" s="44">
        <f t="array" ref="E5">+INDEX(crests.sets[2],MATCH(Table7109[[#This Row],[Crest.Name]],crests.sets[Crest],0))+IFERROR(INDEX(crests.warehouse.1[2],MATCH(Table7109[[#This Row],[Crest.Name]]&amp;Table7109[[#This Row],[ ]],crests.warehouse.1[Crest.Name]&amp;crests.warehouse.1[[ ]],0)),0)+IFERROR(INDEX(crests.warehouse.2[2],MATCH(Table7109[[#This Row],[Crest.Name]]&amp;Table7109[[#This Row],[ ]],crests.warehouse.2[Crest.Name]&amp;crests.warehouse.2[[ ]],0)),0)</f>
        <v>1</v>
      </c>
      <c r="F5" s="44">
        <f t="array" ref="F5">+INDEX(crests.sets[3],MATCH(Table7109[[#This Row],[Crest.Name]],crests.sets[Crest],0))+IFERROR(INDEX(crests.warehouse.1[3],MATCH(Table7109[[#This Row],[Crest.Name]]&amp;Table7109[[#This Row],[ ]],crests.warehouse.1[Crest.Name]&amp;crests.warehouse.1[[ ]],0)),0)+IFERROR(INDEX(crests.warehouse.2[3],MATCH(Table7109[[#This Row],[Crest.Name]]&amp;Table7109[[#This Row],[ ]],crests.warehouse.2[Crest.Name]&amp;crests.warehouse.2[[ ]],0)),0)</f>
        <v>2</v>
      </c>
      <c r="G5" s="44">
        <f t="array" ref="G5">+INDEX(crests.sets[4],MATCH(Table7109[[#This Row],[Crest.Name]],crests.sets[Crest],0))+IFERROR(INDEX(crests.warehouse.1[4],MATCH(Table7109[[#This Row],[Crest.Name]]&amp;Table7109[[#This Row],[ ]],crests.warehouse.1[Crest.Name]&amp;crests.warehouse.1[[ ]],0)),0)+IFERROR(INDEX(crests.warehouse.2[4],MATCH(Table7109[[#This Row],[Crest.Name]]&amp;Table7109[[#This Row],[ ]],crests.warehouse.2[Crest.Name]&amp;crests.warehouse.2[[ ]],0)),0)</f>
        <v>1</v>
      </c>
      <c r="H5" s="45">
        <f t="array" ref="H5">+INDEX(crests.sets[5],MATCH(Table7109[[#This Row],[Crest.Name]],crests.sets[Crest],0))+IFERROR(INDEX(crests.warehouse.1[5],MATCH(Table7109[[#This Row],[Crest.Name]]&amp;Table7109[[#This Row],[ ]],crests.warehouse.1[Crest.Name]&amp;crests.warehouse.1[[ ]],0)),0)+IFERROR(INDEX(crests.warehouse.2[5],MATCH(Table7109[[#This Row],[Crest.Name]]&amp;Table7109[[#This Row],[ ]],crests.warehouse.2[Crest.Name]&amp;crests.warehouse.2[[ ]],0)),0)</f>
        <v>0</v>
      </c>
      <c r="I5" s="73">
        <f>+Table7109[[#This Row],[1]]+4*Table7109[[#This Row],[2]]+16*Table7109[[#This Row],[3]]+64*Table7109[[#This Row],[4]]+256*Table7109[[#This Row],[5]]</f>
        <v>129</v>
      </c>
      <c r="J5" s="3">
        <f>+IF(Table7109[[#This Row],[Total]]&lt;=4,1,IF(Table7109[[#This Row],[Total]]&lt;=16,2,IF(Table7109[[#This Row],[Total]]&lt;=64,3,IF(Table7109[[#This Row],[Total]]&lt;=256,4,5))))</f>
        <v>4</v>
      </c>
      <c r="K5" s="46">
        <f>+INDEX(crests.progress17[Crest.Qty],MATCH(SUM(Table7109[[#This Row],[Best]]+1),crests.progress17[Crest.Tier],0))-Table7109[[#This Row],[Total]]</f>
        <v>127</v>
      </c>
      <c r="L5" s="75">
        <f>+Table7109[[#This Row],[Total]]/INDEX(crests.progress17[Crest.Qty],MATCH(SUM(Table7109[[#This Row],[Best]]+1),crests.progress17[Crest.Tier],0))</f>
        <v>0.50390625</v>
      </c>
      <c r="T5" s="30">
        <v>3</v>
      </c>
      <c r="U5" s="30">
        <v>16</v>
      </c>
    </row>
    <row r="6" spans="1:33" x14ac:dyDescent="0.2">
      <c r="A6" s="277"/>
      <c r="B6" s="29" t="s">
        <v>38</v>
      </c>
      <c r="C6" s="98" t="s">
        <v>115</v>
      </c>
      <c r="D6" s="60">
        <f t="array" ref="D6">+INDEX(crests.sets[1],MATCH(Table7109[[#This Row],[Crest.Name]],crests.sets[Crest],0))+IFERROR(INDEX(crests.warehouse.1[1],MATCH(Table7109[[#This Row],[Crest.Name]]&amp;Table7109[[#This Row],[ ]],crests.warehouse.1[Crest.Name]&amp;crests.warehouse.1[[ ]],0)),0)+IFERROR(INDEX(crests.warehouse.2[1],MATCH(Table7109[[#This Row],[Crest.Name]]&amp;Table7109[[#This Row],[ ]],crests.warehouse.2[Crest.Name]&amp;crests.warehouse.2[[ ]],0)),0)</f>
        <v>5</v>
      </c>
      <c r="E6" s="61">
        <f t="array" ref="E6">+INDEX(crests.sets[2],MATCH(Table7109[[#This Row],[Crest.Name]],crests.sets[Crest],0))+IFERROR(INDEX(crests.warehouse.1[2],MATCH(Table7109[[#This Row],[Crest.Name]]&amp;Table7109[[#This Row],[ ]],crests.warehouse.1[Crest.Name]&amp;crests.warehouse.1[[ ]],0)),0)+IFERROR(INDEX(crests.warehouse.2[2],MATCH(Table7109[[#This Row],[Crest.Name]]&amp;Table7109[[#This Row],[ ]],crests.warehouse.2[Crest.Name]&amp;crests.warehouse.2[[ ]],0)),0)</f>
        <v>1</v>
      </c>
      <c r="F6" s="61">
        <f t="array" ref="F6">+INDEX(crests.sets[3],MATCH(Table7109[[#This Row],[Crest.Name]],crests.sets[Crest],0))+IFERROR(INDEX(crests.warehouse.1[3],MATCH(Table7109[[#This Row],[Crest.Name]]&amp;Table7109[[#This Row],[ ]],crests.warehouse.1[Crest.Name]&amp;crests.warehouse.1[[ ]],0)),0)+IFERROR(INDEX(crests.warehouse.2[3],MATCH(Table7109[[#This Row],[Crest.Name]]&amp;Table7109[[#This Row],[ ]],crests.warehouse.2[Crest.Name]&amp;crests.warehouse.2[[ ]],0)),0)</f>
        <v>2</v>
      </c>
      <c r="G6" s="61">
        <f t="array" ref="G6">+INDEX(crests.sets[4],MATCH(Table7109[[#This Row],[Crest.Name]],crests.sets[Crest],0))+IFERROR(INDEX(crests.warehouse.1[4],MATCH(Table7109[[#This Row],[Crest.Name]]&amp;Table7109[[#This Row],[ ]],crests.warehouse.1[Crest.Name]&amp;crests.warehouse.1[[ ]],0)),0)+IFERROR(INDEX(crests.warehouse.2[4],MATCH(Table7109[[#This Row],[Crest.Name]]&amp;Table7109[[#This Row],[ ]],crests.warehouse.2[Crest.Name]&amp;crests.warehouse.2[[ ]],0)),0)</f>
        <v>1</v>
      </c>
      <c r="H6" s="62">
        <f t="array" ref="H6">+INDEX(crests.sets[5],MATCH(Table7109[[#This Row],[Crest.Name]],crests.sets[Crest],0))+IFERROR(INDEX(crests.warehouse.1[5],MATCH(Table7109[[#This Row],[Crest.Name]]&amp;Table7109[[#This Row],[ ]],crests.warehouse.1[Crest.Name]&amp;crests.warehouse.1[[ ]],0)),0)+IFERROR(INDEX(crests.warehouse.2[5],MATCH(Table7109[[#This Row],[Crest.Name]]&amp;Table7109[[#This Row],[ ]],crests.warehouse.2[Crest.Name]&amp;crests.warehouse.2[[ ]],0)),0)</f>
        <v>0</v>
      </c>
      <c r="I6" s="73">
        <f>+Table7109[[#This Row],[1]]+4*Table7109[[#This Row],[2]]+16*Table7109[[#This Row],[3]]+64*Table7109[[#This Row],[4]]+256*Table7109[[#This Row],[5]]</f>
        <v>105</v>
      </c>
      <c r="J6" s="3">
        <f>+IF(Table7109[[#This Row],[Total]]&lt;=4,1,IF(Table7109[[#This Row],[Total]]&lt;=16,2,IF(Table7109[[#This Row],[Total]]&lt;=64,3,IF(Table7109[[#This Row],[Total]]&lt;=256,4,5))))</f>
        <v>4</v>
      </c>
      <c r="K6" s="63">
        <f>+INDEX(crests.progress17[Crest.Qty],MATCH(SUM(Table7109[[#This Row],[Best]]+1),crests.progress17[Crest.Tier],0))-Table7109[[#This Row],[Total]]</f>
        <v>151</v>
      </c>
      <c r="L6" s="75">
        <f>+Table7109[[#This Row],[Total]]/INDEX(crests.progress17[Crest.Qty],MATCH(SUM(Table7109[[#This Row],[Best]]+1),crests.progress17[Crest.Tier],0))</f>
        <v>0.41015625</v>
      </c>
      <c r="T6" s="30">
        <v>4</v>
      </c>
      <c r="U6" s="30">
        <v>64</v>
      </c>
    </row>
    <row r="7" spans="1:33" ht="143.25" customHeight="1" x14ac:dyDescent="0.2">
      <c r="A7" s="90"/>
      <c r="B7" s="90"/>
      <c r="C7" s="90"/>
      <c r="D7" s="272" t="s">
        <v>148</v>
      </c>
      <c r="E7" s="272"/>
      <c r="F7" s="272"/>
      <c r="G7" s="272"/>
      <c r="H7" s="272"/>
      <c r="I7" s="100" t="s">
        <v>146</v>
      </c>
      <c r="J7" s="100" t="s">
        <v>147</v>
      </c>
      <c r="K7" s="99" t="s">
        <v>149</v>
      </c>
      <c r="L7" s="99" t="s">
        <v>145</v>
      </c>
      <c r="T7" s="30">
        <v>5</v>
      </c>
      <c r="U7" s="30">
        <v>256</v>
      </c>
    </row>
    <row r="10" spans="1:33" s="28" customFormat="1" x14ac:dyDescent="0.2">
      <c r="A10" s="29"/>
      <c r="B10" s="29"/>
      <c r="C10" s="29"/>
      <c r="D10" s="29"/>
      <c r="E10" s="29"/>
      <c r="F10" s="29"/>
      <c r="G10" s="29"/>
      <c r="H10" s="29"/>
      <c r="I10" s="29"/>
      <c r="J10" s="29"/>
      <c r="K10" s="29"/>
      <c r="L10" s="29"/>
      <c r="O10" s="29"/>
      <c r="P10" s="29"/>
      <c r="Q10" s="29"/>
      <c r="R10" s="29"/>
      <c r="S10" s="29"/>
      <c r="T10" s="29"/>
      <c r="U10" s="29"/>
      <c r="V10" s="29"/>
      <c r="W10" s="29"/>
      <c r="X10" s="29"/>
      <c r="Y10" s="29"/>
      <c r="Z10" s="29"/>
      <c r="AA10" s="29"/>
      <c r="AB10" s="29"/>
      <c r="AC10" s="29"/>
      <c r="AD10" s="29"/>
      <c r="AE10" s="29"/>
      <c r="AF10" s="29"/>
      <c r="AG10" s="29"/>
    </row>
    <row r="11" spans="1:33" s="28" customFormat="1" x14ac:dyDescent="0.2">
      <c r="A11" s="29"/>
      <c r="B11" s="29"/>
      <c r="C11" s="29"/>
      <c r="D11" s="29"/>
      <c r="E11" s="29"/>
      <c r="F11" s="29"/>
      <c r="G11" s="29"/>
      <c r="H11" s="29"/>
      <c r="I11" s="29"/>
      <c r="J11" s="29"/>
      <c r="K11" s="29"/>
      <c r="L11" s="29"/>
      <c r="O11" s="29"/>
      <c r="P11" s="29"/>
      <c r="Q11" s="29"/>
      <c r="R11" s="29"/>
      <c r="S11" s="29"/>
      <c r="T11" s="29"/>
      <c r="U11" s="29"/>
      <c r="V11" s="29"/>
      <c r="W11" s="29"/>
      <c r="X11" s="29"/>
      <c r="Y11" s="29"/>
      <c r="Z11" s="29"/>
      <c r="AA11" s="29"/>
      <c r="AB11" s="29"/>
      <c r="AC11" s="29"/>
      <c r="AD11" s="29"/>
      <c r="AE11" s="29"/>
      <c r="AF11" s="29"/>
      <c r="AG11" s="29"/>
    </row>
    <row r="12" spans="1:33" s="28" customFormat="1" x14ac:dyDescent="0.2">
      <c r="A12" s="29"/>
      <c r="B12" s="29"/>
      <c r="C12" s="29"/>
      <c r="D12" s="29"/>
      <c r="E12" s="29"/>
      <c r="F12" s="29"/>
      <c r="G12" s="29"/>
      <c r="H12" s="29"/>
      <c r="I12" s="29"/>
      <c r="J12" s="29"/>
      <c r="K12" s="29"/>
      <c r="L12" s="29"/>
      <c r="O12" s="29"/>
      <c r="P12" s="29"/>
      <c r="Q12" s="29"/>
      <c r="R12" s="29"/>
      <c r="S12" s="29"/>
      <c r="T12" s="29"/>
      <c r="U12" s="29"/>
      <c r="V12" s="29"/>
      <c r="W12" s="29"/>
      <c r="X12" s="29"/>
      <c r="Y12" s="29"/>
      <c r="Z12" s="29"/>
      <c r="AA12" s="29"/>
      <c r="AB12" s="29"/>
      <c r="AC12" s="29"/>
      <c r="AD12" s="29"/>
      <c r="AE12" s="29"/>
      <c r="AF12" s="29"/>
      <c r="AG12" s="29"/>
    </row>
    <row r="13" spans="1:33" s="28" customFormat="1" x14ac:dyDescent="0.2">
      <c r="A13" s="29"/>
      <c r="B13" s="29"/>
      <c r="C13" s="29"/>
      <c r="D13" s="29"/>
      <c r="E13" s="29"/>
      <c r="F13" s="29"/>
      <c r="G13" s="29"/>
      <c r="H13" s="29"/>
      <c r="I13" s="29"/>
      <c r="J13" s="29"/>
      <c r="K13" s="29"/>
      <c r="L13" s="29"/>
      <c r="O13" s="29"/>
      <c r="P13" s="29"/>
      <c r="Q13" s="29"/>
      <c r="R13" s="29"/>
      <c r="S13" s="29"/>
      <c r="T13" s="29"/>
      <c r="U13" s="29"/>
      <c r="V13" s="29"/>
      <c r="W13" s="29"/>
      <c r="X13" s="29"/>
      <c r="Y13" s="29"/>
      <c r="Z13" s="29"/>
      <c r="AA13" s="29"/>
      <c r="AB13" s="29"/>
      <c r="AC13" s="29"/>
      <c r="AD13" s="29"/>
      <c r="AE13" s="29"/>
      <c r="AF13" s="29"/>
      <c r="AG13" s="29"/>
    </row>
    <row r="14" spans="1:33" s="28" customFormat="1" x14ac:dyDescent="0.2">
      <c r="A14" s="29"/>
      <c r="B14" s="29"/>
      <c r="C14" s="29"/>
      <c r="D14" s="29"/>
      <c r="E14" s="29"/>
      <c r="F14" s="29"/>
      <c r="G14" s="29"/>
      <c r="H14" s="29"/>
      <c r="I14" s="29"/>
      <c r="J14" s="29"/>
      <c r="K14" s="29"/>
      <c r="L14" s="29"/>
      <c r="O14" s="29"/>
      <c r="P14" s="29"/>
      <c r="Q14" s="29"/>
      <c r="R14" s="29"/>
      <c r="S14" s="29"/>
      <c r="T14" s="29"/>
      <c r="U14" s="29"/>
      <c r="V14" s="29"/>
      <c r="W14" s="29"/>
      <c r="X14" s="29"/>
      <c r="Y14" s="29"/>
      <c r="Z14" s="29"/>
      <c r="AA14" s="29"/>
      <c r="AB14" s="29"/>
      <c r="AC14" s="29"/>
      <c r="AD14" s="29"/>
      <c r="AE14" s="29"/>
      <c r="AF14" s="29"/>
      <c r="AG14" s="29"/>
    </row>
    <row r="15" spans="1:33" s="28" customFormat="1" x14ac:dyDescent="0.2">
      <c r="A15" s="29"/>
      <c r="B15" s="29"/>
      <c r="C15" s="29"/>
      <c r="D15" s="29"/>
      <c r="E15" s="29"/>
      <c r="F15" s="29"/>
      <c r="G15" s="29"/>
      <c r="H15" s="29"/>
      <c r="I15" s="29"/>
      <c r="J15" s="29"/>
      <c r="K15" s="29"/>
      <c r="L15" s="29"/>
      <c r="O15" s="29"/>
      <c r="P15" s="29"/>
      <c r="Q15" s="29"/>
      <c r="R15" s="29"/>
      <c r="S15" s="29"/>
      <c r="T15" s="29"/>
      <c r="U15" s="29"/>
      <c r="V15" s="29"/>
      <c r="W15" s="29"/>
      <c r="X15" s="29"/>
      <c r="Y15" s="29"/>
      <c r="Z15" s="29"/>
      <c r="AA15" s="29"/>
      <c r="AB15" s="29"/>
      <c r="AC15" s="29"/>
      <c r="AD15" s="29"/>
      <c r="AE15" s="29"/>
      <c r="AF15" s="29"/>
      <c r="AG15" s="29"/>
    </row>
    <row r="16" spans="1:33" s="28" customFormat="1" x14ac:dyDescent="0.2">
      <c r="A16" s="29"/>
      <c r="B16" s="29"/>
      <c r="C16" s="29"/>
      <c r="D16" s="29"/>
      <c r="E16" s="29"/>
      <c r="F16" s="29"/>
      <c r="G16" s="29"/>
      <c r="H16" s="29"/>
      <c r="I16" s="29"/>
      <c r="J16" s="29"/>
      <c r="K16" s="29"/>
      <c r="L16" s="29"/>
      <c r="O16" s="29"/>
      <c r="P16" s="29"/>
      <c r="Q16" s="29"/>
      <c r="R16" s="29"/>
      <c r="S16" s="29"/>
      <c r="T16" s="29"/>
      <c r="U16" s="29"/>
      <c r="V16" s="29"/>
      <c r="W16" s="29"/>
      <c r="X16" s="29"/>
      <c r="Y16" s="29"/>
      <c r="Z16" s="29"/>
      <c r="AA16" s="29"/>
      <c r="AB16" s="29"/>
      <c r="AC16" s="29"/>
      <c r="AD16" s="29"/>
      <c r="AE16" s="29"/>
      <c r="AF16" s="29"/>
      <c r="AG16" s="29"/>
    </row>
    <row r="17" spans="1:33" s="28" customFormat="1" x14ac:dyDescent="0.2">
      <c r="A17" s="29"/>
      <c r="B17" s="29"/>
      <c r="C17" s="29"/>
      <c r="D17" s="29"/>
      <c r="E17" s="29"/>
      <c r="F17" s="29"/>
      <c r="G17" s="29"/>
      <c r="H17" s="29"/>
      <c r="I17" s="29"/>
      <c r="J17" s="29"/>
      <c r="K17" s="29"/>
      <c r="L17" s="29"/>
      <c r="O17" s="29"/>
      <c r="P17" s="29"/>
      <c r="Q17" s="29"/>
      <c r="R17" s="29"/>
      <c r="S17" s="29"/>
      <c r="T17" s="29"/>
      <c r="U17" s="29"/>
      <c r="V17" s="29"/>
      <c r="W17" s="29"/>
      <c r="X17" s="29"/>
      <c r="Y17" s="29"/>
      <c r="Z17" s="29"/>
      <c r="AA17" s="29"/>
      <c r="AB17" s="29"/>
      <c r="AC17" s="29"/>
      <c r="AD17" s="29"/>
      <c r="AE17" s="29"/>
      <c r="AF17" s="29"/>
      <c r="AG17" s="29"/>
    </row>
    <row r="18" spans="1:33" s="28" customFormat="1" x14ac:dyDescent="0.2">
      <c r="A18" s="29"/>
      <c r="B18" s="29"/>
      <c r="C18" s="29"/>
      <c r="D18" s="29"/>
      <c r="E18" s="29"/>
      <c r="F18" s="29"/>
      <c r="G18" s="29"/>
      <c r="H18" s="29"/>
      <c r="I18" s="29"/>
      <c r="J18" s="29"/>
      <c r="K18" s="29"/>
      <c r="L18" s="29"/>
      <c r="O18" s="29"/>
      <c r="P18" s="29"/>
      <c r="Q18" s="29"/>
      <c r="R18" s="29"/>
      <c r="S18" s="29"/>
      <c r="T18" s="29"/>
      <c r="U18" s="29"/>
      <c r="V18" s="29"/>
      <c r="W18" s="29"/>
      <c r="X18" s="29"/>
      <c r="Y18" s="29"/>
      <c r="Z18" s="29"/>
      <c r="AA18" s="29"/>
      <c r="AB18" s="29"/>
      <c r="AC18" s="29"/>
      <c r="AD18" s="29"/>
      <c r="AE18" s="29"/>
      <c r="AF18" s="29"/>
      <c r="AG18" s="29"/>
    </row>
    <row r="19" spans="1:33" s="28" customFormat="1" x14ac:dyDescent="0.2">
      <c r="A19" s="29"/>
      <c r="B19" s="29"/>
      <c r="C19" s="29"/>
      <c r="D19" s="29"/>
      <c r="E19" s="29"/>
      <c r="F19" s="29"/>
      <c r="G19" s="29"/>
      <c r="H19" s="29"/>
      <c r="I19" s="29"/>
      <c r="J19" s="29"/>
      <c r="K19" s="29"/>
      <c r="L19" s="29"/>
      <c r="O19" s="29"/>
      <c r="P19" s="29"/>
      <c r="Q19" s="29"/>
      <c r="R19" s="29"/>
      <c r="S19" s="29"/>
      <c r="T19" s="29"/>
      <c r="U19" s="29"/>
      <c r="V19" s="29"/>
      <c r="W19" s="29"/>
      <c r="X19" s="29"/>
      <c r="Y19" s="29"/>
      <c r="Z19" s="29"/>
      <c r="AA19" s="29"/>
      <c r="AB19" s="29"/>
      <c r="AC19" s="29"/>
      <c r="AD19" s="29"/>
      <c r="AE19" s="29"/>
      <c r="AF19" s="29"/>
      <c r="AG19" s="29"/>
    </row>
    <row r="20" spans="1:33" s="28" customFormat="1" x14ac:dyDescent="0.2">
      <c r="A20" s="29"/>
      <c r="B20" s="29"/>
      <c r="C20" s="29"/>
      <c r="D20" s="29"/>
      <c r="E20" s="29"/>
      <c r="F20" s="29"/>
      <c r="G20" s="29"/>
      <c r="H20" s="29"/>
      <c r="I20" s="29"/>
      <c r="J20" s="29"/>
      <c r="K20" s="29"/>
      <c r="L20" s="29"/>
      <c r="O20" s="29"/>
      <c r="P20" s="29"/>
      <c r="Q20" s="29"/>
      <c r="R20" s="29"/>
      <c r="S20" s="29"/>
      <c r="T20" s="29"/>
      <c r="U20" s="29"/>
      <c r="V20" s="29"/>
      <c r="W20" s="29"/>
      <c r="X20" s="29"/>
      <c r="Y20" s="29"/>
      <c r="Z20" s="29"/>
      <c r="AA20" s="29"/>
      <c r="AB20" s="29"/>
      <c r="AC20" s="29"/>
      <c r="AD20" s="29"/>
      <c r="AE20" s="29"/>
      <c r="AF20" s="29"/>
      <c r="AG20" s="29"/>
    </row>
    <row r="21" spans="1:33" s="28" customFormat="1" x14ac:dyDescent="0.2">
      <c r="A21" s="29"/>
      <c r="B21" s="29"/>
      <c r="C21" s="29"/>
      <c r="D21" s="29"/>
      <c r="E21" s="29"/>
      <c r="F21" s="29"/>
      <c r="G21" s="29"/>
      <c r="H21" s="29"/>
      <c r="I21" s="29"/>
      <c r="J21" s="29"/>
      <c r="K21" s="29"/>
      <c r="L21" s="29"/>
      <c r="O21" s="29"/>
      <c r="P21" s="29"/>
      <c r="Q21" s="29"/>
      <c r="R21" s="29"/>
      <c r="S21" s="29"/>
      <c r="T21" s="29"/>
      <c r="U21" s="29"/>
      <c r="V21" s="29"/>
      <c r="W21" s="29"/>
      <c r="X21" s="29"/>
      <c r="Y21" s="29"/>
      <c r="Z21" s="29"/>
      <c r="AA21" s="29"/>
      <c r="AB21" s="29"/>
      <c r="AC21" s="29"/>
      <c r="AD21" s="29"/>
      <c r="AE21" s="29"/>
      <c r="AF21" s="29"/>
      <c r="AG21" s="29"/>
    </row>
    <row r="22" spans="1:33" s="28" customFormat="1" x14ac:dyDescent="0.2">
      <c r="A22" s="29"/>
      <c r="B22" s="29"/>
      <c r="C22" s="29"/>
      <c r="D22" s="29"/>
      <c r="E22" s="29"/>
      <c r="F22" s="29"/>
      <c r="G22" s="29"/>
      <c r="H22" s="29"/>
      <c r="I22" s="29"/>
      <c r="J22" s="29"/>
      <c r="K22" s="29"/>
      <c r="L22" s="29"/>
      <c r="O22" s="29"/>
      <c r="P22" s="29"/>
      <c r="Q22" s="29"/>
      <c r="R22" s="29"/>
      <c r="S22" s="29"/>
      <c r="T22" s="29"/>
      <c r="U22" s="29"/>
      <c r="V22" s="29"/>
      <c r="W22" s="29"/>
      <c r="X22" s="29"/>
      <c r="Y22" s="29"/>
      <c r="Z22" s="29"/>
      <c r="AA22" s="29"/>
      <c r="AB22" s="29"/>
      <c r="AC22" s="29"/>
      <c r="AD22" s="29"/>
      <c r="AE22" s="29"/>
      <c r="AF22" s="29"/>
      <c r="AG22" s="29"/>
    </row>
    <row r="23" spans="1:33" s="28" customFormat="1" x14ac:dyDescent="0.2">
      <c r="A23" s="29"/>
      <c r="B23" s="29"/>
      <c r="C23" s="29"/>
      <c r="D23" s="29"/>
      <c r="E23" s="29"/>
      <c r="F23" s="29"/>
      <c r="G23" s="29"/>
      <c r="H23" s="29"/>
      <c r="I23" s="29"/>
      <c r="J23" s="29"/>
      <c r="K23" s="29"/>
      <c r="L23" s="29"/>
      <c r="O23" s="29"/>
      <c r="P23" s="29"/>
      <c r="Q23" s="29"/>
      <c r="R23" s="29"/>
      <c r="S23" s="29"/>
      <c r="T23" s="29"/>
      <c r="U23" s="29"/>
      <c r="V23" s="29"/>
      <c r="W23" s="29"/>
      <c r="X23" s="29"/>
      <c r="Y23" s="29"/>
      <c r="Z23" s="29"/>
      <c r="AA23" s="29"/>
      <c r="AB23" s="29"/>
      <c r="AC23" s="29"/>
      <c r="AD23" s="29"/>
      <c r="AE23" s="29"/>
      <c r="AF23" s="29"/>
      <c r="AG23" s="29"/>
    </row>
    <row r="24" spans="1:33" s="28" customFormat="1" x14ac:dyDescent="0.2">
      <c r="A24" s="29"/>
      <c r="B24" s="29"/>
      <c r="C24" s="29"/>
      <c r="D24" s="29"/>
      <c r="E24" s="29"/>
      <c r="F24" s="29"/>
      <c r="G24" s="29"/>
      <c r="H24" s="29"/>
      <c r="I24" s="29"/>
      <c r="J24" s="29"/>
      <c r="K24" s="29"/>
      <c r="L24" s="29"/>
      <c r="O24" s="29"/>
      <c r="P24" s="29"/>
      <c r="Q24" s="29"/>
      <c r="R24" s="29"/>
      <c r="S24" s="29"/>
      <c r="T24" s="29"/>
      <c r="U24" s="29"/>
      <c r="V24" s="29"/>
      <c r="W24" s="29"/>
      <c r="X24" s="29"/>
      <c r="Y24" s="29"/>
      <c r="Z24" s="29"/>
      <c r="AA24" s="29"/>
      <c r="AB24" s="29"/>
      <c r="AC24" s="29"/>
      <c r="AD24" s="29"/>
      <c r="AE24" s="29"/>
      <c r="AF24" s="29"/>
      <c r="AG24" s="29"/>
    </row>
    <row r="25" spans="1:33" s="28" customFormat="1" x14ac:dyDescent="0.2">
      <c r="A25" s="29"/>
      <c r="B25" s="29"/>
      <c r="C25" s="29"/>
      <c r="D25" s="29"/>
      <c r="E25" s="29"/>
      <c r="F25" s="29"/>
      <c r="G25" s="29"/>
      <c r="H25" s="29"/>
      <c r="I25" s="29"/>
      <c r="J25" s="29"/>
      <c r="K25" s="29"/>
      <c r="L25" s="29"/>
      <c r="O25" s="29"/>
      <c r="P25" s="29"/>
      <c r="Q25" s="29"/>
      <c r="R25" s="29"/>
      <c r="S25" s="29"/>
      <c r="T25" s="29"/>
      <c r="U25" s="29"/>
      <c r="V25" s="29"/>
      <c r="W25" s="29"/>
      <c r="X25" s="29"/>
      <c r="Y25" s="29"/>
      <c r="Z25" s="29"/>
      <c r="AA25" s="29"/>
      <c r="AB25" s="29"/>
      <c r="AC25" s="29"/>
      <c r="AD25" s="29"/>
      <c r="AE25" s="29"/>
      <c r="AF25" s="29"/>
      <c r="AG25" s="29"/>
    </row>
    <row r="26" spans="1:33" s="28" customFormat="1" x14ac:dyDescent="0.2">
      <c r="A26" s="29"/>
      <c r="B26" s="29"/>
      <c r="C26" s="29"/>
      <c r="D26" s="29"/>
      <c r="E26" s="29"/>
      <c r="F26" s="29"/>
      <c r="G26" s="29"/>
      <c r="H26" s="29"/>
      <c r="I26" s="29"/>
      <c r="J26" s="29"/>
      <c r="K26" s="29"/>
      <c r="L26" s="29"/>
      <c r="O26" s="29"/>
      <c r="P26" s="29"/>
      <c r="Q26" s="29"/>
      <c r="R26" s="29"/>
      <c r="S26" s="29"/>
      <c r="T26" s="29"/>
      <c r="U26" s="29"/>
      <c r="V26" s="29"/>
      <c r="W26" s="29"/>
      <c r="X26" s="29"/>
      <c r="Y26" s="29"/>
      <c r="Z26" s="29"/>
      <c r="AA26" s="29"/>
      <c r="AB26" s="29"/>
      <c r="AC26" s="29"/>
      <c r="AD26" s="29"/>
      <c r="AE26" s="29"/>
      <c r="AF26" s="29"/>
      <c r="AG26" s="29"/>
    </row>
    <row r="27" spans="1:33" s="28" customFormat="1" x14ac:dyDescent="0.2">
      <c r="A27" s="29"/>
      <c r="B27" s="29"/>
      <c r="C27" s="29"/>
      <c r="D27" s="29"/>
      <c r="E27" s="29"/>
      <c r="F27" s="29"/>
      <c r="G27" s="29"/>
      <c r="H27" s="29"/>
      <c r="I27" s="29"/>
      <c r="J27" s="29"/>
      <c r="K27" s="29"/>
      <c r="L27" s="29"/>
      <c r="O27" s="29"/>
      <c r="P27" s="29"/>
      <c r="Q27" s="29"/>
      <c r="R27" s="29"/>
      <c r="S27" s="29"/>
      <c r="T27" s="29"/>
      <c r="U27" s="29"/>
      <c r="V27" s="29"/>
      <c r="W27" s="29"/>
      <c r="X27" s="29"/>
      <c r="Y27" s="29"/>
      <c r="Z27" s="29"/>
      <c r="AA27" s="29"/>
      <c r="AB27" s="29"/>
      <c r="AC27" s="29"/>
      <c r="AD27" s="29"/>
      <c r="AE27" s="29"/>
      <c r="AF27" s="29"/>
      <c r="AG27" s="29"/>
    </row>
    <row r="28" spans="1:33" s="28" customFormat="1" x14ac:dyDescent="0.2">
      <c r="A28" s="29"/>
      <c r="B28" s="29"/>
      <c r="C28" s="29"/>
      <c r="D28" s="29"/>
      <c r="E28" s="29"/>
      <c r="F28" s="29"/>
      <c r="G28" s="29"/>
      <c r="H28" s="29"/>
      <c r="I28" s="29"/>
      <c r="J28" s="29"/>
      <c r="K28" s="29"/>
      <c r="L28" s="29"/>
      <c r="O28" s="29"/>
      <c r="P28" s="29"/>
      <c r="Q28" s="29"/>
      <c r="R28" s="29"/>
      <c r="S28" s="29"/>
      <c r="T28" s="29"/>
      <c r="U28" s="29"/>
      <c r="V28" s="29"/>
      <c r="W28" s="29"/>
      <c r="X28" s="29"/>
      <c r="Y28" s="29"/>
      <c r="Z28" s="29"/>
      <c r="AA28" s="29"/>
      <c r="AB28" s="29"/>
      <c r="AC28" s="29"/>
      <c r="AD28" s="29"/>
      <c r="AE28" s="29"/>
      <c r="AF28" s="29"/>
      <c r="AG28" s="29"/>
    </row>
    <row r="29" spans="1:33" s="28" customFormat="1" x14ac:dyDescent="0.2">
      <c r="A29" s="29"/>
      <c r="B29" s="29"/>
      <c r="C29" s="29"/>
      <c r="D29" s="29"/>
      <c r="E29" s="29"/>
      <c r="F29" s="29"/>
      <c r="G29" s="29"/>
      <c r="H29" s="29"/>
      <c r="I29" s="29"/>
      <c r="J29" s="29"/>
      <c r="K29" s="29"/>
      <c r="L29" s="29"/>
      <c r="O29" s="29"/>
      <c r="P29" s="29"/>
      <c r="Q29" s="29"/>
      <c r="R29" s="29"/>
      <c r="S29" s="29"/>
      <c r="T29" s="29"/>
      <c r="U29" s="29"/>
      <c r="V29" s="29"/>
      <c r="W29" s="29"/>
      <c r="X29" s="29"/>
      <c r="Y29" s="29"/>
      <c r="Z29" s="29"/>
      <c r="AA29" s="29"/>
      <c r="AB29" s="29"/>
      <c r="AC29" s="29"/>
      <c r="AD29" s="29"/>
      <c r="AE29" s="29"/>
      <c r="AF29" s="29"/>
      <c r="AG29" s="29"/>
    </row>
    <row r="30" spans="1:33" s="28" customFormat="1" x14ac:dyDescent="0.2">
      <c r="A30" s="29"/>
      <c r="B30" s="29"/>
      <c r="C30" s="29"/>
      <c r="D30" s="29"/>
      <c r="E30" s="29"/>
      <c r="F30" s="29"/>
      <c r="G30" s="29"/>
      <c r="H30" s="29"/>
      <c r="I30" s="29"/>
      <c r="J30" s="29"/>
      <c r="K30" s="29"/>
      <c r="L30" s="29"/>
      <c r="O30" s="29"/>
      <c r="P30" s="29"/>
      <c r="Q30" s="29"/>
      <c r="R30" s="29"/>
      <c r="S30" s="29"/>
      <c r="T30" s="29"/>
      <c r="U30" s="29"/>
      <c r="V30" s="29"/>
      <c r="W30" s="29"/>
      <c r="X30" s="29"/>
      <c r="Y30" s="29"/>
      <c r="Z30" s="29"/>
      <c r="AA30" s="29"/>
      <c r="AB30" s="29"/>
      <c r="AC30" s="29"/>
      <c r="AD30" s="29"/>
      <c r="AE30" s="29"/>
      <c r="AF30" s="29"/>
      <c r="AG30" s="29"/>
    </row>
    <row r="31" spans="1:33" s="28" customFormat="1" x14ac:dyDescent="0.2">
      <c r="A31" s="29"/>
      <c r="B31" s="29"/>
      <c r="C31" s="29"/>
      <c r="D31" s="29"/>
      <c r="E31" s="29"/>
      <c r="F31" s="29"/>
      <c r="G31" s="29"/>
      <c r="H31" s="29"/>
      <c r="I31" s="29"/>
      <c r="J31" s="29"/>
      <c r="K31" s="29"/>
      <c r="L31" s="29"/>
      <c r="O31" s="29"/>
      <c r="P31" s="29"/>
      <c r="Q31" s="29"/>
      <c r="R31" s="29"/>
      <c r="S31" s="29"/>
      <c r="T31" s="29"/>
      <c r="U31" s="29"/>
      <c r="V31" s="29"/>
      <c r="W31" s="29"/>
      <c r="X31" s="29"/>
      <c r="Y31" s="29"/>
      <c r="Z31" s="29"/>
      <c r="AA31" s="29"/>
      <c r="AB31" s="29"/>
      <c r="AC31" s="29"/>
      <c r="AD31" s="29"/>
      <c r="AE31" s="29"/>
      <c r="AF31" s="29"/>
      <c r="AG31" s="29"/>
    </row>
  </sheetData>
  <mergeCells count="3">
    <mergeCell ref="D7:H7"/>
    <mergeCell ref="K1:L1"/>
    <mergeCell ref="A3:A6"/>
  </mergeCells>
  <conditionalFormatting sqref="I3:I6">
    <cfRule type="colorScale" priority="55">
      <colorScale>
        <cfvo type="min"/>
        <cfvo type="percentile" val="50"/>
        <cfvo type="max"/>
        <color rgb="FFF8696B"/>
        <color rgb="FFFFEB84"/>
        <color rgb="FF63BE7B"/>
      </colorScale>
    </cfRule>
  </conditionalFormatting>
  <conditionalFormatting sqref="J3:J6">
    <cfRule type="top10" dxfId="189" priority="18" percent="1" bottom="1" rank="1"/>
    <cfRule type="top10" dxfId="188" priority="35" percent="1" rank="99"/>
  </conditionalFormatting>
  <conditionalFormatting sqref="L3:L6">
    <cfRule type="colorScale" priority="122">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
  <sheetViews>
    <sheetView workbookViewId="0">
      <selection activeCell="N31" sqref="N31"/>
    </sheetView>
  </sheetViews>
  <sheetFormatPr defaultRowHeight="14.25" x14ac:dyDescent="0.2"/>
  <cols>
    <col min="1" max="1" width="11.42578125" style="29" customWidth="1"/>
    <col min="2" max="2" width="13.140625" style="29" customWidth="1"/>
    <col min="3" max="3" width="3.7109375" style="29" customWidth="1"/>
    <col min="4" max="8" width="5.140625" style="29" customWidth="1"/>
    <col min="9" max="9" width="9.140625" style="29"/>
    <col min="10" max="10" width="11.42578125" style="29" customWidth="1"/>
    <col min="11" max="11" width="14.140625" style="29" customWidth="1"/>
    <col min="12" max="12" width="3.7109375" style="29" customWidth="1"/>
    <col min="13" max="17" width="5.140625" style="29" customWidth="1"/>
    <col min="18" max="16384" width="9.140625" style="29"/>
  </cols>
  <sheetData>
    <row r="1" spans="1:17" ht="15" thickBot="1" x14ac:dyDescent="0.25">
      <c r="A1" s="212" t="s">
        <v>95</v>
      </c>
      <c r="B1" s="39" t="s">
        <v>110</v>
      </c>
      <c r="C1" s="40" t="s">
        <v>111</v>
      </c>
      <c r="D1" s="41" t="s">
        <v>96</v>
      </c>
      <c r="E1" s="41" t="s">
        <v>97</v>
      </c>
      <c r="F1" s="41" t="s">
        <v>98</v>
      </c>
      <c r="G1" s="41" t="s">
        <v>99</v>
      </c>
      <c r="H1" s="41" t="s">
        <v>100</v>
      </c>
      <c r="I1" s="40"/>
      <c r="J1" s="212" t="s">
        <v>95</v>
      </c>
      <c r="K1" s="32" t="s">
        <v>110</v>
      </c>
      <c r="L1" s="181" t="s">
        <v>111</v>
      </c>
      <c r="M1" s="211" t="s">
        <v>96</v>
      </c>
      <c r="N1" s="211" t="s">
        <v>97</v>
      </c>
      <c r="O1" s="211" t="s">
        <v>98</v>
      </c>
      <c r="P1" s="211" t="s">
        <v>99</v>
      </c>
      <c r="Q1" s="210" t="s">
        <v>100</v>
      </c>
    </row>
    <row r="2" spans="1:17" ht="15" thickTop="1" x14ac:dyDescent="0.2">
      <c r="A2" s="187"/>
      <c r="B2" s="209" t="s">
        <v>38</v>
      </c>
      <c r="C2" s="208" t="s">
        <v>112</v>
      </c>
      <c r="D2" s="189">
        <v>31</v>
      </c>
      <c r="E2" s="188"/>
      <c r="F2" s="188"/>
      <c r="G2" s="188"/>
      <c r="H2" s="188"/>
      <c r="J2" s="187"/>
      <c r="K2" s="195" t="s">
        <v>46</v>
      </c>
      <c r="L2" s="208" t="s">
        <v>112</v>
      </c>
      <c r="M2" s="198">
        <v>158</v>
      </c>
      <c r="N2" s="197">
        <v>3</v>
      </c>
      <c r="O2" s="197">
        <v>1</v>
      </c>
      <c r="P2" s="197"/>
      <c r="Q2" s="196"/>
    </row>
    <row r="3" spans="1:17" x14ac:dyDescent="0.2">
      <c r="A3" s="187"/>
      <c r="B3" s="186" t="s">
        <v>38</v>
      </c>
      <c r="C3" s="185" t="s">
        <v>113</v>
      </c>
      <c r="D3" s="189">
        <v>46</v>
      </c>
      <c r="E3" s="188"/>
      <c r="F3" s="188"/>
      <c r="G3" s="188"/>
      <c r="H3" s="188"/>
      <c r="J3" s="187"/>
      <c r="K3" s="186" t="s">
        <v>46</v>
      </c>
      <c r="L3" s="185" t="s">
        <v>113</v>
      </c>
      <c r="M3" s="193">
        <v>140</v>
      </c>
      <c r="N3" s="192">
        <v>1</v>
      </c>
      <c r="O3" s="192"/>
      <c r="P3" s="192"/>
      <c r="Q3" s="191"/>
    </row>
    <row r="4" spans="1:17" x14ac:dyDescent="0.2">
      <c r="A4" s="187"/>
      <c r="B4" s="195" t="s">
        <v>38</v>
      </c>
      <c r="C4" s="194" t="s">
        <v>114</v>
      </c>
      <c r="D4" s="189">
        <v>29</v>
      </c>
      <c r="E4" s="188"/>
      <c r="F4" s="188"/>
      <c r="G4" s="188"/>
      <c r="H4" s="188"/>
      <c r="J4" s="187"/>
      <c r="K4" s="195" t="s">
        <v>46</v>
      </c>
      <c r="L4" s="194" t="s">
        <v>114</v>
      </c>
      <c r="M4" s="193">
        <v>134</v>
      </c>
      <c r="N4" s="192">
        <v>3</v>
      </c>
      <c r="O4" s="192">
        <v>1</v>
      </c>
      <c r="P4" s="192"/>
      <c r="Q4" s="191"/>
    </row>
    <row r="5" spans="1:17" ht="15" thickBot="1" x14ac:dyDescent="0.25">
      <c r="A5" s="205"/>
      <c r="B5" s="204" t="s">
        <v>38</v>
      </c>
      <c r="C5" s="203" t="s">
        <v>115</v>
      </c>
      <c r="D5" s="189">
        <v>5</v>
      </c>
      <c r="E5" s="188"/>
      <c r="F5" s="188"/>
      <c r="G5" s="188"/>
      <c r="H5" s="188"/>
      <c r="J5" s="205"/>
      <c r="K5" s="204" t="s">
        <v>46</v>
      </c>
      <c r="L5" s="203" t="s">
        <v>115</v>
      </c>
      <c r="M5" s="193">
        <v>49</v>
      </c>
      <c r="N5" s="192">
        <v>1</v>
      </c>
      <c r="O5" s="192"/>
      <c r="P5" s="192"/>
      <c r="Q5" s="191"/>
    </row>
    <row r="6" spans="1:17" x14ac:dyDescent="0.2">
      <c r="A6" s="187"/>
      <c r="B6" s="200" t="s">
        <v>30</v>
      </c>
      <c r="C6" s="199" t="s">
        <v>112</v>
      </c>
      <c r="D6" s="202">
        <v>6</v>
      </c>
      <c r="E6" s="201"/>
      <c r="F6" s="201"/>
      <c r="G6" s="201"/>
      <c r="H6" s="201"/>
      <c r="J6" s="187"/>
      <c r="K6" s="200" t="s">
        <v>48</v>
      </c>
      <c r="L6" s="199" t="s">
        <v>112</v>
      </c>
      <c r="M6" s="198">
        <v>194</v>
      </c>
      <c r="N6" s="197"/>
      <c r="O6" s="197"/>
      <c r="P6" s="197"/>
      <c r="Q6" s="196"/>
    </row>
    <row r="7" spans="1:17" x14ac:dyDescent="0.2">
      <c r="A7" s="187"/>
      <c r="B7" s="186" t="s">
        <v>30</v>
      </c>
      <c r="C7" s="185" t="s">
        <v>113</v>
      </c>
      <c r="D7" s="189">
        <v>7</v>
      </c>
      <c r="E7" s="188"/>
      <c r="F7" s="188"/>
      <c r="G7" s="188"/>
      <c r="H7" s="188"/>
      <c r="J7" s="187"/>
      <c r="K7" s="186" t="s">
        <v>48</v>
      </c>
      <c r="L7" s="185" t="s">
        <v>113</v>
      </c>
      <c r="M7" s="193">
        <v>144</v>
      </c>
      <c r="N7" s="192"/>
      <c r="O7" s="192"/>
      <c r="P7" s="192"/>
      <c r="Q7" s="191"/>
    </row>
    <row r="8" spans="1:17" x14ac:dyDescent="0.2">
      <c r="A8" s="187"/>
      <c r="B8" s="195" t="s">
        <v>30</v>
      </c>
      <c r="C8" s="194" t="s">
        <v>114</v>
      </c>
      <c r="D8" s="189">
        <v>6</v>
      </c>
      <c r="E8" s="188"/>
      <c r="F8" s="188"/>
      <c r="G8" s="188"/>
      <c r="H8" s="188"/>
      <c r="J8" s="187"/>
      <c r="K8" s="195" t="s">
        <v>48</v>
      </c>
      <c r="L8" s="194" t="s">
        <v>114</v>
      </c>
      <c r="M8" s="193">
        <v>91</v>
      </c>
      <c r="N8" s="192"/>
      <c r="O8" s="192"/>
      <c r="P8" s="192"/>
      <c r="Q8" s="191"/>
    </row>
    <row r="9" spans="1:17" ht="15" thickBot="1" x14ac:dyDescent="0.25">
      <c r="A9" s="205"/>
      <c r="B9" s="204" t="s">
        <v>30</v>
      </c>
      <c r="C9" s="203" t="s">
        <v>115</v>
      </c>
      <c r="D9" s="189">
        <v>6</v>
      </c>
      <c r="E9" s="188"/>
      <c r="F9" s="188"/>
      <c r="G9" s="188"/>
      <c r="H9" s="188"/>
      <c r="J9" s="205"/>
      <c r="K9" s="204" t="s">
        <v>48</v>
      </c>
      <c r="L9" s="203" t="s">
        <v>115</v>
      </c>
      <c r="M9" s="207">
        <v>41</v>
      </c>
      <c r="N9" s="192"/>
      <c r="O9" s="192"/>
      <c r="P9" s="192"/>
      <c r="Q9" s="191"/>
    </row>
    <row r="10" spans="1:17" x14ac:dyDescent="0.2">
      <c r="A10" s="187"/>
      <c r="B10" s="200" t="s">
        <v>36</v>
      </c>
      <c r="C10" s="199" t="s">
        <v>112</v>
      </c>
      <c r="D10" s="202">
        <v>10</v>
      </c>
      <c r="E10" s="201"/>
      <c r="F10" s="201"/>
      <c r="G10" s="201"/>
      <c r="H10" s="201"/>
      <c r="J10" s="187"/>
      <c r="K10" s="200" t="s">
        <v>8</v>
      </c>
      <c r="L10" s="199" t="s">
        <v>112</v>
      </c>
      <c r="M10" s="206">
        <v>17</v>
      </c>
      <c r="N10" s="197">
        <v>1</v>
      </c>
      <c r="O10" s="197"/>
      <c r="P10" s="197"/>
      <c r="Q10" s="196"/>
    </row>
    <row r="11" spans="1:17" x14ac:dyDescent="0.2">
      <c r="A11" s="187"/>
      <c r="B11" s="186" t="s">
        <v>36</v>
      </c>
      <c r="C11" s="185" t="s">
        <v>113</v>
      </c>
      <c r="D11" s="189">
        <v>31</v>
      </c>
      <c r="E11" s="188">
        <v>2</v>
      </c>
      <c r="F11" s="188"/>
      <c r="G11" s="188"/>
      <c r="H11" s="188"/>
      <c r="J11" s="187"/>
      <c r="K11" s="186" t="s">
        <v>8</v>
      </c>
      <c r="L11" s="185" t="s">
        <v>113</v>
      </c>
      <c r="M11" s="193">
        <v>20</v>
      </c>
      <c r="N11" s="192"/>
      <c r="O11" s="192"/>
      <c r="P11" s="192"/>
      <c r="Q11" s="191"/>
    </row>
    <row r="12" spans="1:17" x14ac:dyDescent="0.2">
      <c r="A12" s="187"/>
      <c r="B12" s="195" t="s">
        <v>36</v>
      </c>
      <c r="C12" s="194" t="s">
        <v>114</v>
      </c>
      <c r="D12" s="189">
        <v>3</v>
      </c>
      <c r="E12" s="188"/>
      <c r="F12" s="188"/>
      <c r="G12" s="188"/>
      <c r="H12" s="188"/>
      <c r="J12" s="187"/>
      <c r="K12" s="195" t="s">
        <v>8</v>
      </c>
      <c r="L12" s="194" t="s">
        <v>114</v>
      </c>
      <c r="M12" s="193">
        <v>39</v>
      </c>
      <c r="N12" s="192">
        <v>1</v>
      </c>
      <c r="O12" s="192"/>
      <c r="P12" s="192"/>
      <c r="Q12" s="191"/>
    </row>
    <row r="13" spans="1:17" ht="15" thickBot="1" x14ac:dyDescent="0.25">
      <c r="A13" s="205"/>
      <c r="B13" s="204" t="s">
        <v>36</v>
      </c>
      <c r="C13" s="203" t="s">
        <v>115</v>
      </c>
      <c r="D13" s="189">
        <v>12</v>
      </c>
      <c r="E13" s="188"/>
      <c r="F13" s="188">
        <v>1</v>
      </c>
      <c r="G13" s="188"/>
      <c r="H13" s="188"/>
      <c r="J13" s="205"/>
      <c r="K13" s="204" t="s">
        <v>8</v>
      </c>
      <c r="L13" s="203" t="s">
        <v>115</v>
      </c>
      <c r="M13" s="207">
        <v>20</v>
      </c>
      <c r="N13" s="192">
        <v>2</v>
      </c>
      <c r="O13" s="192"/>
      <c r="P13" s="192"/>
      <c r="Q13" s="191"/>
    </row>
    <row r="14" spans="1:17" x14ac:dyDescent="0.2">
      <c r="A14" s="187"/>
      <c r="B14" s="200" t="s">
        <v>42</v>
      </c>
      <c r="C14" s="199" t="s">
        <v>112</v>
      </c>
      <c r="D14" s="202">
        <v>49</v>
      </c>
      <c r="E14" s="201"/>
      <c r="F14" s="201"/>
      <c r="G14" s="201"/>
      <c r="H14" s="201"/>
      <c r="J14" s="187"/>
      <c r="K14" s="200" t="s">
        <v>50</v>
      </c>
      <c r="L14" s="199" t="s">
        <v>112</v>
      </c>
      <c r="M14" s="206">
        <v>128</v>
      </c>
      <c r="N14" s="197">
        <v>4</v>
      </c>
      <c r="O14" s="197">
        <v>1</v>
      </c>
      <c r="P14" s="197"/>
      <c r="Q14" s="196"/>
    </row>
    <row r="15" spans="1:17" x14ac:dyDescent="0.2">
      <c r="A15" s="187"/>
      <c r="B15" s="186" t="s">
        <v>42</v>
      </c>
      <c r="C15" s="185" t="s">
        <v>113</v>
      </c>
      <c r="D15" s="189">
        <v>59</v>
      </c>
      <c r="E15" s="188"/>
      <c r="F15" s="188"/>
      <c r="G15" s="188"/>
      <c r="H15" s="188"/>
      <c r="J15" s="187"/>
      <c r="K15" s="186" t="s">
        <v>50</v>
      </c>
      <c r="L15" s="185" t="s">
        <v>113</v>
      </c>
      <c r="M15" s="193">
        <v>142</v>
      </c>
      <c r="N15" s="192">
        <v>2</v>
      </c>
      <c r="O15" s="192"/>
      <c r="P15" s="192"/>
      <c r="Q15" s="191"/>
    </row>
    <row r="16" spans="1:17" x14ac:dyDescent="0.2">
      <c r="A16" s="187"/>
      <c r="B16" s="195" t="s">
        <v>42</v>
      </c>
      <c r="C16" s="194" t="s">
        <v>114</v>
      </c>
      <c r="D16" s="189">
        <v>45</v>
      </c>
      <c r="E16" s="188"/>
      <c r="F16" s="188"/>
      <c r="G16" s="188"/>
      <c r="H16" s="188"/>
      <c r="J16" s="187"/>
      <c r="K16" s="195" t="s">
        <v>50</v>
      </c>
      <c r="L16" s="194" t="s">
        <v>114</v>
      </c>
      <c r="M16" s="193">
        <v>140</v>
      </c>
      <c r="N16" s="192">
        <v>3</v>
      </c>
      <c r="O16" s="192"/>
      <c r="P16" s="192"/>
      <c r="Q16" s="191"/>
    </row>
    <row r="17" spans="1:17" ht="15" thickBot="1" x14ac:dyDescent="0.25">
      <c r="A17" s="205"/>
      <c r="B17" s="204" t="s">
        <v>42</v>
      </c>
      <c r="C17" s="203" t="s">
        <v>115</v>
      </c>
      <c r="D17" s="189">
        <v>28</v>
      </c>
      <c r="E17" s="188"/>
      <c r="F17" s="188"/>
      <c r="G17" s="188"/>
      <c r="H17" s="188">
        <v>1</v>
      </c>
      <c r="J17" s="205"/>
      <c r="K17" s="204" t="s">
        <v>50</v>
      </c>
      <c r="L17" s="203" t="s">
        <v>115</v>
      </c>
      <c r="M17" s="207">
        <v>93</v>
      </c>
      <c r="N17" s="192">
        <v>1</v>
      </c>
      <c r="O17" s="192">
        <v>1</v>
      </c>
      <c r="P17" s="192"/>
      <c r="Q17" s="191"/>
    </row>
    <row r="18" spans="1:17" x14ac:dyDescent="0.2">
      <c r="A18" s="187"/>
      <c r="B18" s="200" t="s">
        <v>44</v>
      </c>
      <c r="C18" s="199" t="s">
        <v>112</v>
      </c>
      <c r="D18" s="202">
        <v>41</v>
      </c>
      <c r="E18" s="201"/>
      <c r="F18" s="201"/>
      <c r="G18" s="201"/>
      <c r="H18" s="201"/>
      <c r="J18" s="187"/>
      <c r="K18" s="200" t="s">
        <v>54</v>
      </c>
      <c r="L18" s="199" t="s">
        <v>112</v>
      </c>
      <c r="M18" s="206">
        <v>23</v>
      </c>
      <c r="N18" s="197"/>
      <c r="O18" s="197"/>
      <c r="P18" s="197"/>
      <c r="Q18" s="196"/>
    </row>
    <row r="19" spans="1:17" x14ac:dyDescent="0.2">
      <c r="A19" s="187"/>
      <c r="B19" s="186" t="s">
        <v>44</v>
      </c>
      <c r="C19" s="185" t="s">
        <v>113</v>
      </c>
      <c r="D19" s="189">
        <v>43</v>
      </c>
      <c r="E19" s="188"/>
      <c r="F19" s="188"/>
      <c r="G19" s="188"/>
      <c r="H19" s="188"/>
      <c r="J19" s="187"/>
      <c r="K19" s="186" t="s">
        <v>54</v>
      </c>
      <c r="L19" s="185" t="s">
        <v>113</v>
      </c>
      <c r="M19" s="193">
        <v>36</v>
      </c>
      <c r="N19" s="192">
        <v>1</v>
      </c>
      <c r="O19" s="192">
        <v>1</v>
      </c>
      <c r="P19" s="192"/>
      <c r="Q19" s="191"/>
    </row>
    <row r="20" spans="1:17" x14ac:dyDescent="0.2">
      <c r="A20" s="187"/>
      <c r="B20" s="195" t="s">
        <v>44</v>
      </c>
      <c r="C20" s="194" t="s">
        <v>114</v>
      </c>
      <c r="D20" s="189">
        <v>36</v>
      </c>
      <c r="E20" s="188"/>
      <c r="F20" s="188"/>
      <c r="G20" s="188"/>
      <c r="H20" s="188"/>
      <c r="J20" s="187"/>
      <c r="K20" s="195" t="s">
        <v>54</v>
      </c>
      <c r="L20" s="194" t="s">
        <v>114</v>
      </c>
      <c r="M20" s="193">
        <v>28</v>
      </c>
      <c r="N20" s="192"/>
      <c r="O20" s="192">
        <v>1</v>
      </c>
      <c r="P20" s="192"/>
      <c r="Q20" s="191"/>
    </row>
    <row r="21" spans="1:17" ht="15" thickBot="1" x14ac:dyDescent="0.25">
      <c r="A21" s="205"/>
      <c r="B21" s="204" t="s">
        <v>44</v>
      </c>
      <c r="C21" s="203" t="s">
        <v>115</v>
      </c>
      <c r="D21" s="189">
        <v>21</v>
      </c>
      <c r="E21" s="188"/>
      <c r="F21" s="188"/>
      <c r="G21" s="188"/>
      <c r="H21" s="188"/>
      <c r="J21" s="205"/>
      <c r="K21" s="204" t="s">
        <v>54</v>
      </c>
      <c r="L21" s="203" t="s">
        <v>115</v>
      </c>
      <c r="M21" s="207">
        <v>13</v>
      </c>
      <c r="N21" s="192">
        <v>1</v>
      </c>
      <c r="O21" s="192"/>
      <c r="P21" s="192"/>
      <c r="Q21" s="191"/>
    </row>
    <row r="22" spans="1:17" x14ac:dyDescent="0.2">
      <c r="A22" s="187"/>
      <c r="B22" s="200" t="s">
        <v>22</v>
      </c>
      <c r="C22" s="199" t="s">
        <v>112</v>
      </c>
      <c r="D22" s="202">
        <v>57</v>
      </c>
      <c r="E22" s="201">
        <v>1</v>
      </c>
      <c r="F22" s="201"/>
      <c r="G22" s="201"/>
      <c r="H22" s="201"/>
      <c r="J22" s="187"/>
      <c r="K22" s="200" t="s">
        <v>52</v>
      </c>
      <c r="L22" s="199" t="s">
        <v>112</v>
      </c>
      <c r="M22" s="206">
        <v>74</v>
      </c>
      <c r="N22" s="197"/>
      <c r="O22" s="197"/>
      <c r="P22" s="197"/>
      <c r="Q22" s="196"/>
    </row>
    <row r="23" spans="1:17" x14ac:dyDescent="0.2">
      <c r="A23" s="187"/>
      <c r="B23" s="186" t="s">
        <v>22</v>
      </c>
      <c r="C23" s="185" t="s">
        <v>113</v>
      </c>
      <c r="D23" s="189">
        <v>44</v>
      </c>
      <c r="E23" s="188">
        <v>3</v>
      </c>
      <c r="F23" s="188"/>
      <c r="G23" s="188"/>
      <c r="H23" s="188"/>
      <c r="J23" s="187"/>
      <c r="K23" s="186" t="s">
        <v>52</v>
      </c>
      <c r="L23" s="185" t="s">
        <v>113</v>
      </c>
      <c r="M23" s="193">
        <v>90</v>
      </c>
      <c r="N23" s="192"/>
      <c r="O23" s="192"/>
      <c r="P23" s="192"/>
      <c r="Q23" s="191"/>
    </row>
    <row r="24" spans="1:17" x14ac:dyDescent="0.2">
      <c r="A24" s="187"/>
      <c r="B24" s="195" t="s">
        <v>22</v>
      </c>
      <c r="C24" s="194" t="s">
        <v>114</v>
      </c>
      <c r="D24" s="189">
        <v>29</v>
      </c>
      <c r="E24" s="188">
        <v>2</v>
      </c>
      <c r="F24" s="188"/>
      <c r="G24" s="188"/>
      <c r="H24" s="188"/>
      <c r="J24" s="187"/>
      <c r="K24" s="195" t="s">
        <v>52</v>
      </c>
      <c r="L24" s="194" t="s">
        <v>114</v>
      </c>
      <c r="M24" s="193">
        <v>115</v>
      </c>
      <c r="N24" s="192"/>
      <c r="O24" s="192"/>
      <c r="P24" s="192"/>
      <c r="Q24" s="191"/>
    </row>
    <row r="25" spans="1:17" ht="15" thickBot="1" x14ac:dyDescent="0.25">
      <c r="A25" s="205"/>
      <c r="B25" s="204" t="s">
        <v>22</v>
      </c>
      <c r="C25" s="203" t="s">
        <v>115</v>
      </c>
      <c r="D25" s="189">
        <v>45</v>
      </c>
      <c r="E25" s="188"/>
      <c r="F25" s="188"/>
      <c r="G25" s="188"/>
      <c r="H25" s="188"/>
      <c r="J25" s="205"/>
      <c r="K25" s="204" t="s">
        <v>52</v>
      </c>
      <c r="L25" s="203" t="s">
        <v>115</v>
      </c>
      <c r="M25" s="207">
        <v>64</v>
      </c>
      <c r="N25" s="192">
        <v>2</v>
      </c>
      <c r="O25" s="192"/>
      <c r="P25" s="192"/>
      <c r="Q25" s="191"/>
    </row>
    <row r="26" spans="1:17" x14ac:dyDescent="0.2">
      <c r="A26" s="187"/>
      <c r="B26" s="200" t="s">
        <v>26</v>
      </c>
      <c r="C26" s="199" t="s">
        <v>112</v>
      </c>
      <c r="D26" s="202">
        <v>145</v>
      </c>
      <c r="E26" s="201">
        <v>3</v>
      </c>
      <c r="F26" s="201"/>
      <c r="G26" s="201"/>
      <c r="H26" s="201"/>
      <c r="J26" s="187"/>
      <c r="K26" s="200" t="s">
        <v>32</v>
      </c>
      <c r="L26" s="199" t="s">
        <v>112</v>
      </c>
      <c r="M26" s="206">
        <v>18</v>
      </c>
      <c r="N26" s="197"/>
      <c r="O26" s="197"/>
      <c r="P26" s="197"/>
      <c r="Q26" s="196"/>
    </row>
    <row r="27" spans="1:17" x14ac:dyDescent="0.2">
      <c r="A27" s="187"/>
      <c r="B27" s="186" t="s">
        <v>26</v>
      </c>
      <c r="C27" s="185" t="s">
        <v>113</v>
      </c>
      <c r="D27" s="189">
        <v>137</v>
      </c>
      <c r="E27" s="188">
        <v>3</v>
      </c>
      <c r="F27" s="188"/>
      <c r="G27" s="188">
        <v>1</v>
      </c>
      <c r="H27" s="188"/>
      <c r="J27" s="187"/>
      <c r="K27" s="186" t="s">
        <v>32</v>
      </c>
      <c r="L27" s="185" t="s">
        <v>113</v>
      </c>
      <c r="M27" s="193">
        <v>10</v>
      </c>
      <c r="N27" s="192">
        <v>1</v>
      </c>
      <c r="O27" s="192"/>
      <c r="P27" s="192"/>
      <c r="Q27" s="191"/>
    </row>
    <row r="28" spans="1:17" x14ac:dyDescent="0.2">
      <c r="A28" s="187"/>
      <c r="B28" s="195" t="s">
        <v>26</v>
      </c>
      <c r="C28" s="194" t="s">
        <v>114</v>
      </c>
      <c r="D28" s="189">
        <v>131</v>
      </c>
      <c r="E28" s="188">
        <v>1</v>
      </c>
      <c r="F28" s="188"/>
      <c r="G28" s="188"/>
      <c r="H28" s="188"/>
      <c r="J28" s="187"/>
      <c r="K28" s="195" t="s">
        <v>32</v>
      </c>
      <c r="L28" s="194" t="s">
        <v>114</v>
      </c>
      <c r="M28" s="193">
        <v>25</v>
      </c>
      <c r="N28" s="192"/>
      <c r="O28" s="192"/>
      <c r="P28" s="192"/>
      <c r="Q28" s="191"/>
    </row>
    <row r="29" spans="1:17" ht="15" thickBot="1" x14ac:dyDescent="0.25">
      <c r="A29" s="205"/>
      <c r="B29" s="204" t="s">
        <v>26</v>
      </c>
      <c r="C29" s="203" t="s">
        <v>115</v>
      </c>
      <c r="D29" s="189">
        <v>106</v>
      </c>
      <c r="E29" s="188"/>
      <c r="F29" s="188"/>
      <c r="G29" s="188"/>
      <c r="H29" s="188"/>
      <c r="J29" s="205"/>
      <c r="K29" s="204" t="s">
        <v>32</v>
      </c>
      <c r="L29" s="203" t="s">
        <v>115</v>
      </c>
      <c r="M29" s="193">
        <v>9</v>
      </c>
      <c r="N29" s="192">
        <v>1</v>
      </c>
      <c r="O29" s="192"/>
      <c r="P29" s="192"/>
      <c r="Q29" s="191"/>
    </row>
    <row r="30" spans="1:17" x14ac:dyDescent="0.2">
      <c r="A30" s="187"/>
      <c r="B30" s="200" t="s">
        <v>13</v>
      </c>
      <c r="C30" s="199" t="s">
        <v>112</v>
      </c>
      <c r="D30" s="202">
        <v>156</v>
      </c>
      <c r="E30" s="201"/>
      <c r="F30" s="201">
        <v>1</v>
      </c>
      <c r="G30" s="201"/>
      <c r="H30" s="201"/>
      <c r="J30" s="187"/>
      <c r="K30" s="200" t="s">
        <v>16</v>
      </c>
      <c r="L30" s="199" t="s">
        <v>112</v>
      </c>
      <c r="M30" s="198">
        <v>21</v>
      </c>
      <c r="N30" s="197">
        <v>1</v>
      </c>
      <c r="O30" s="197"/>
      <c r="P30" s="197"/>
      <c r="Q30" s="196"/>
    </row>
    <row r="31" spans="1:17" x14ac:dyDescent="0.2">
      <c r="A31" s="187"/>
      <c r="B31" s="186" t="s">
        <v>13</v>
      </c>
      <c r="C31" s="185" t="s">
        <v>113</v>
      </c>
      <c r="D31" s="189">
        <v>135</v>
      </c>
      <c r="E31" s="188">
        <v>2</v>
      </c>
      <c r="F31" s="188"/>
      <c r="G31" s="188"/>
      <c r="H31" s="188"/>
      <c r="J31" s="187"/>
      <c r="K31" s="186" t="s">
        <v>16</v>
      </c>
      <c r="L31" s="185" t="s">
        <v>113</v>
      </c>
      <c r="M31" s="193">
        <v>37</v>
      </c>
      <c r="N31" s="192">
        <v>4</v>
      </c>
      <c r="O31" s="192"/>
      <c r="P31" s="192">
        <v>1</v>
      </c>
      <c r="Q31" s="191"/>
    </row>
    <row r="32" spans="1:17" x14ac:dyDescent="0.2">
      <c r="A32" s="187"/>
      <c r="B32" s="195" t="s">
        <v>13</v>
      </c>
      <c r="C32" s="194" t="s">
        <v>114</v>
      </c>
      <c r="D32" s="189">
        <v>134</v>
      </c>
      <c r="E32" s="188"/>
      <c r="F32" s="188"/>
      <c r="G32" s="188"/>
      <c r="H32" s="188"/>
      <c r="J32" s="187"/>
      <c r="K32" s="195" t="s">
        <v>16</v>
      </c>
      <c r="L32" s="194" t="s">
        <v>114</v>
      </c>
      <c r="M32" s="193">
        <v>26</v>
      </c>
      <c r="N32" s="192">
        <v>2</v>
      </c>
      <c r="O32" s="192"/>
      <c r="P32" s="192"/>
      <c r="Q32" s="191"/>
    </row>
    <row r="33" spans="1:17" ht="15" thickBot="1" x14ac:dyDescent="0.25">
      <c r="A33" s="205"/>
      <c r="B33" s="204" t="s">
        <v>13</v>
      </c>
      <c r="C33" s="203" t="s">
        <v>115</v>
      </c>
      <c r="D33" s="189">
        <v>77</v>
      </c>
      <c r="E33" s="188"/>
      <c r="F33" s="188"/>
      <c r="G33" s="188"/>
      <c r="H33" s="188"/>
      <c r="J33" s="205"/>
      <c r="K33" s="204" t="s">
        <v>16</v>
      </c>
      <c r="L33" s="203" t="s">
        <v>115</v>
      </c>
      <c r="M33" s="193">
        <v>19</v>
      </c>
      <c r="N33" s="192">
        <v>1</v>
      </c>
      <c r="O33" s="192"/>
      <c r="P33" s="192"/>
      <c r="Q33" s="191"/>
    </row>
    <row r="34" spans="1:17" x14ac:dyDescent="0.2">
      <c r="A34" s="187"/>
      <c r="B34" s="200" t="s">
        <v>40</v>
      </c>
      <c r="C34" s="199" t="s">
        <v>112</v>
      </c>
      <c r="D34" s="202">
        <v>21</v>
      </c>
      <c r="E34" s="201">
        <v>3</v>
      </c>
      <c r="F34" s="201"/>
      <c r="G34" s="201"/>
      <c r="H34" s="201"/>
      <c r="J34" s="187"/>
      <c r="K34" s="200" t="s">
        <v>34</v>
      </c>
      <c r="L34" s="199" t="s">
        <v>112</v>
      </c>
      <c r="M34" s="198">
        <v>2</v>
      </c>
      <c r="N34" s="197"/>
      <c r="O34" s="197"/>
      <c r="P34" s="197"/>
      <c r="Q34" s="196"/>
    </row>
    <row r="35" spans="1:17" x14ac:dyDescent="0.2">
      <c r="A35" s="187"/>
      <c r="B35" s="186" t="s">
        <v>40</v>
      </c>
      <c r="C35" s="185" t="s">
        <v>113</v>
      </c>
      <c r="D35" s="189">
        <v>14</v>
      </c>
      <c r="E35" s="188">
        <v>1</v>
      </c>
      <c r="F35" s="188"/>
      <c r="G35" s="188"/>
      <c r="H35" s="188"/>
      <c r="J35" s="187"/>
      <c r="K35" s="186" t="s">
        <v>34</v>
      </c>
      <c r="L35" s="185" t="s">
        <v>113</v>
      </c>
      <c r="M35" s="193"/>
      <c r="N35" s="192"/>
      <c r="O35" s="192"/>
      <c r="P35" s="192"/>
      <c r="Q35" s="191"/>
    </row>
    <row r="36" spans="1:17" x14ac:dyDescent="0.2">
      <c r="A36" s="187"/>
      <c r="B36" s="195" t="s">
        <v>40</v>
      </c>
      <c r="C36" s="194" t="s">
        <v>114</v>
      </c>
      <c r="D36" s="189">
        <v>13</v>
      </c>
      <c r="E36" s="188"/>
      <c r="F36" s="188"/>
      <c r="G36" s="188"/>
      <c r="H36" s="188"/>
      <c r="J36" s="187"/>
      <c r="K36" s="195" t="s">
        <v>34</v>
      </c>
      <c r="L36" s="194" t="s">
        <v>114</v>
      </c>
      <c r="M36" s="193">
        <v>1</v>
      </c>
      <c r="N36" s="192"/>
      <c r="O36" s="192"/>
      <c r="P36" s="192"/>
      <c r="Q36" s="191"/>
    </row>
    <row r="37" spans="1:17" x14ac:dyDescent="0.2">
      <c r="A37" s="190"/>
      <c r="B37" s="186" t="s">
        <v>40</v>
      </c>
      <c r="C37" s="185" t="s">
        <v>115</v>
      </c>
      <c r="D37" s="189">
        <v>13</v>
      </c>
      <c r="E37" s="188">
        <v>1</v>
      </c>
      <c r="F37" s="188"/>
      <c r="G37" s="188"/>
      <c r="H37" s="188"/>
      <c r="J37" s="187"/>
      <c r="K37" s="186" t="s">
        <v>34</v>
      </c>
      <c r="L37" s="185" t="s">
        <v>115</v>
      </c>
      <c r="M37" s="184"/>
      <c r="N37" s="183"/>
      <c r="O37" s="183"/>
      <c r="P37" s="183"/>
      <c r="Q37" s="182"/>
    </row>
  </sheetData>
  <sheetProtection selectLockedCells="1"/>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9"/>
  <sheetViews>
    <sheetView workbookViewId="0"/>
  </sheetViews>
  <sheetFormatPr defaultRowHeight="15" x14ac:dyDescent="0.25"/>
  <cols>
    <col min="1" max="1" width="2.7109375" style="228" customWidth="1"/>
    <col min="2" max="2" width="8.28515625" style="228" customWidth="1"/>
    <col min="3" max="3" width="9.140625" style="228"/>
    <col min="4" max="4" width="2.7109375" style="228" customWidth="1"/>
    <col min="5" max="5" width="8.28515625" style="228" customWidth="1"/>
    <col min="6" max="6" width="9.140625" style="228"/>
    <col min="7" max="7" width="2.7109375" style="228" customWidth="1"/>
    <col min="8" max="8" width="8.28515625" style="228" customWidth="1"/>
    <col min="9" max="9" width="9.140625" style="228"/>
    <col min="10" max="10" width="2.7109375" style="228" customWidth="1"/>
    <col min="11" max="11" width="8.28515625" style="228" customWidth="1"/>
    <col min="12" max="12" width="9.140625" style="228"/>
    <col min="13" max="13" width="2.7109375" style="228" customWidth="1"/>
    <col min="14" max="14" width="8.28515625" style="228" customWidth="1"/>
    <col min="15" max="15" width="9.140625" style="228"/>
    <col min="16" max="16" width="2.7109375" style="228" customWidth="1"/>
    <col min="17" max="17" width="8.28515625" style="228" customWidth="1"/>
    <col min="18" max="18" width="9.140625" style="228"/>
    <col min="19" max="19" width="2.7109375" style="228" customWidth="1"/>
    <col min="20" max="27" width="9.140625" style="228" customWidth="1"/>
    <col min="28" max="28" width="18" style="228" bestFit="1" customWidth="1"/>
    <col min="29" max="29" width="18" style="228" customWidth="1"/>
    <col min="30" max="33" width="9.140625" style="228" customWidth="1"/>
    <col min="34" max="16384" width="9.140625" style="228"/>
  </cols>
  <sheetData>
    <row r="1" spans="1:38" x14ac:dyDescent="0.25">
      <c r="C1" s="231"/>
      <c r="E1" s="231"/>
      <c r="F1" s="231"/>
      <c r="H1" s="231"/>
      <c r="I1" s="231"/>
      <c r="K1" s="231"/>
      <c r="L1" s="231"/>
      <c r="N1" s="231"/>
      <c r="O1" s="231"/>
      <c r="Q1" s="231"/>
      <c r="R1" s="231"/>
      <c r="AB1"/>
    </row>
    <row r="2" spans="1:38" ht="19.5" x14ac:dyDescent="0.25">
      <c r="B2" s="238" t="s">
        <v>210</v>
      </c>
      <c r="C2" s="238"/>
      <c r="D2" s="238"/>
      <c r="E2" s="238"/>
      <c r="F2" s="238"/>
      <c r="G2" s="238"/>
      <c r="H2" s="238"/>
      <c r="I2" s="238"/>
      <c r="J2" s="238"/>
      <c r="K2" s="238"/>
      <c r="L2" s="238"/>
      <c r="M2" s="236"/>
      <c r="N2" s="285">
        <f>+SUMIFS(AI4:AI49,AC4:AC49,"S")</f>
        <v>0</v>
      </c>
      <c r="O2" s="286"/>
      <c r="P2" s="237"/>
      <c r="Q2" s="278">
        <f>+SUMIFS(AH4:AH49,AC4:AC49,"S")</f>
        <v>50000</v>
      </c>
      <c r="R2" s="279"/>
      <c r="S2" s="233"/>
    </row>
    <row r="3" spans="1:38" x14ac:dyDescent="0.25">
      <c r="B3" s="12"/>
      <c r="C3" s="12"/>
      <c r="D3" s="232"/>
      <c r="E3" s="12"/>
      <c r="F3" s="12"/>
      <c r="G3" s="232"/>
      <c r="H3" s="12"/>
      <c r="I3" s="12"/>
      <c r="J3" s="232"/>
      <c r="K3" s="12"/>
      <c r="L3" s="12"/>
      <c r="M3" s="232"/>
      <c r="N3" s="12"/>
      <c r="O3" s="12"/>
      <c r="P3" s="232"/>
      <c r="Q3" s="12"/>
      <c r="R3" s="12"/>
    </row>
    <row r="4" spans="1:38" ht="15" customHeight="1" x14ac:dyDescent="0.25">
      <c r="A4" s="230"/>
      <c r="B4" s="282"/>
      <c r="C4" s="280">
        <v>4</v>
      </c>
      <c r="D4" s="235"/>
      <c r="E4" s="282"/>
      <c r="F4" s="280">
        <v>4</v>
      </c>
      <c r="G4" s="235"/>
      <c r="H4" s="282"/>
      <c r="I4" s="280">
        <v>4</v>
      </c>
      <c r="J4" s="235"/>
      <c r="K4" s="282"/>
      <c r="L4" s="280">
        <v>4</v>
      </c>
      <c r="M4" s="235"/>
      <c r="N4" s="282"/>
      <c r="O4" s="280">
        <v>4</v>
      </c>
      <c r="P4" s="235"/>
      <c r="Q4" s="282"/>
      <c r="R4" s="280">
        <v>4</v>
      </c>
      <c r="S4" s="233"/>
      <c r="T4" s="233"/>
      <c r="U4" s="233"/>
      <c r="V4" s="233"/>
      <c r="W4" s="233"/>
      <c r="X4" s="233"/>
      <c r="Y4" s="233"/>
      <c r="Z4" s="233"/>
      <c r="AA4" s="233"/>
      <c r="AB4" s="229" t="s">
        <v>195</v>
      </c>
      <c r="AC4" s="229" t="s">
        <v>213</v>
      </c>
      <c r="AD4" s="229">
        <f>+L30</f>
        <v>0</v>
      </c>
      <c r="AE4" s="229">
        <f>+_xlfn.IFNA(IF(VLOOKUP(AB4,heroes[[Hero]:[Evo?]],4,FALSE)="No",4,IF(VLOOKUP(AB4,heroes[[Hero]:[Evo?]],4,FALSE)="Evo",3,IF(VLOOKUP(AB4,heroes[[Hero]:[Evo?]],4,FALSE)="Devo",0))),5)</f>
        <v>5</v>
      </c>
      <c r="AF4" s="229">
        <f>+AD4-AE4</f>
        <v>-5</v>
      </c>
      <c r="AG4" s="229" t="str">
        <f>+_xlfn.IFNA(VLOOKUP(AB4,heroes[[Hero]:[Evo?]],4,FALSE),"No")</f>
        <v>No</v>
      </c>
      <c r="AH4" s="229">
        <f>+IF(AG4="No",6000,IF(AG4="Evo",5000,0))</f>
        <v>6000</v>
      </c>
      <c r="AI4" s="229">
        <f>+IF(AF4&gt;=0,0,AF4*-1*20000)</f>
        <v>100000</v>
      </c>
      <c r="AL4"/>
    </row>
    <row r="5" spans="1:38" ht="15" customHeight="1" x14ac:dyDescent="0.25">
      <c r="A5" s="230"/>
      <c r="B5" s="283"/>
      <c r="C5" s="281"/>
      <c r="D5" s="235"/>
      <c r="E5" s="283"/>
      <c r="F5" s="281"/>
      <c r="G5" s="235"/>
      <c r="H5" s="283"/>
      <c r="I5" s="281"/>
      <c r="J5" s="235"/>
      <c r="K5" s="283"/>
      <c r="L5" s="281"/>
      <c r="M5" s="235"/>
      <c r="N5" s="283"/>
      <c r="O5" s="281"/>
      <c r="P5" s="235"/>
      <c r="Q5" s="283"/>
      <c r="R5" s="281"/>
      <c r="S5" s="233"/>
      <c r="T5" s="233"/>
      <c r="U5" s="233"/>
      <c r="V5" s="233"/>
      <c r="W5" s="233"/>
      <c r="X5" s="233"/>
      <c r="Y5" s="233"/>
      <c r="Z5" s="233"/>
      <c r="AA5" s="233"/>
      <c r="AB5" s="229" t="s">
        <v>19</v>
      </c>
      <c r="AC5" s="229" t="s">
        <v>213</v>
      </c>
      <c r="AD5" s="229">
        <f>+L14</f>
        <v>2</v>
      </c>
      <c r="AE5" s="229">
        <f>+_xlfn.IFNA(IF(VLOOKUP(AB5,heroes[[Hero]:[Evo?]],4,FALSE)="No",4,IF(VLOOKUP(AB5,heroes[[Hero]:[Evo?]],4,FALSE)="Evo",3,IF(VLOOKUP(AB5,heroes[[Hero]:[Evo?]],4,FALSE)="Devo",0))),5)</f>
        <v>3</v>
      </c>
      <c r="AF5" s="229">
        <f t="shared" ref="AF5:AF49" si="0">+AD5-AE5</f>
        <v>-1</v>
      </c>
      <c r="AG5" s="229" t="str">
        <f>+_xlfn.IFNA(VLOOKUP(AB5,heroes[[Hero]:[Evo?]],4,FALSE),"No")</f>
        <v>Evo</v>
      </c>
      <c r="AH5" s="229">
        <f t="shared" ref="AH5:AH49" si="1">+IF(AG5="No",6000,IF(AG5="Evo",5000,0))</f>
        <v>5000</v>
      </c>
      <c r="AI5" s="229">
        <f t="shared" ref="AI5:AI49" si="2">+IF(AF5&gt;=0,0,AF5*-1*20000)</f>
        <v>20000</v>
      </c>
    </row>
    <row r="6" spans="1:38" ht="15" customHeight="1" x14ac:dyDescent="0.25">
      <c r="A6" s="230"/>
      <c r="B6" s="284"/>
      <c r="C6" s="234">
        <f>+AF27</f>
        <v>0</v>
      </c>
      <c r="D6" s="235"/>
      <c r="E6" s="284"/>
      <c r="F6" s="234">
        <f>+AF25</f>
        <v>0</v>
      </c>
      <c r="G6" s="235"/>
      <c r="H6" s="284"/>
      <c r="I6" s="234">
        <f>+AF37</f>
        <v>0</v>
      </c>
      <c r="J6" s="235"/>
      <c r="K6" s="284"/>
      <c r="L6" s="234">
        <f>+AF9</f>
        <v>0</v>
      </c>
      <c r="M6" s="235"/>
      <c r="N6" s="284"/>
      <c r="O6" s="234">
        <f>+AF14</f>
        <v>1</v>
      </c>
      <c r="P6" s="235"/>
      <c r="Q6" s="284"/>
      <c r="R6" s="234">
        <f>+AF38</f>
        <v>1</v>
      </c>
      <c r="S6" s="233"/>
      <c r="T6" s="233"/>
      <c r="U6" s="233"/>
      <c r="V6" s="233"/>
      <c r="W6" s="233"/>
      <c r="X6" s="233"/>
      <c r="Y6" s="233"/>
      <c r="Z6" s="233"/>
      <c r="AA6" s="233"/>
      <c r="AB6" s="229" t="s">
        <v>23</v>
      </c>
      <c r="AC6" s="229" t="s">
        <v>214</v>
      </c>
      <c r="AD6" s="229">
        <f>+F8</f>
        <v>7</v>
      </c>
      <c r="AE6" s="229">
        <f>+_xlfn.IFNA(IF(VLOOKUP(AB6,heroes[[Hero]:[Evo?]],4,FALSE)="No",4,IF(VLOOKUP(AB6,heroes[[Hero]:[Evo?]],4,FALSE)="Evo",3,IF(VLOOKUP(AB6,heroes[[Hero]:[Evo?]],4,FALSE)="Devo",0))),5)</f>
        <v>3</v>
      </c>
      <c r="AF6" s="229">
        <f t="shared" si="0"/>
        <v>4</v>
      </c>
      <c r="AG6" s="229" t="str">
        <f>+_xlfn.IFNA(VLOOKUP(AB6,heroes[[Hero]:[Evo?]],4,FALSE),"No")</f>
        <v>Evo</v>
      </c>
      <c r="AH6" s="229">
        <f t="shared" si="1"/>
        <v>5000</v>
      </c>
      <c r="AI6" s="229">
        <f t="shared" si="2"/>
        <v>0</v>
      </c>
    </row>
    <row r="7" spans="1:38" x14ac:dyDescent="0.25">
      <c r="B7" s="12"/>
      <c r="C7" s="12"/>
      <c r="E7" s="12"/>
      <c r="F7" s="12"/>
      <c r="H7" s="12"/>
      <c r="I7" s="12"/>
      <c r="K7" s="12"/>
      <c r="L7" s="12"/>
      <c r="N7" s="12"/>
      <c r="O7" s="12"/>
      <c r="Q7" s="232"/>
      <c r="R7" s="232"/>
      <c r="AB7" s="229" t="s">
        <v>25</v>
      </c>
      <c r="AC7" s="229" t="s">
        <v>213</v>
      </c>
      <c r="AD7" s="229">
        <f>+R22</f>
        <v>6</v>
      </c>
      <c r="AE7" s="229">
        <f>+_xlfn.IFNA(IF(VLOOKUP(AB7,heroes[[Hero]:[Evo?]],4,FALSE)="No",4,IF(VLOOKUP(AB7,heroes[[Hero]:[Evo?]],4,FALSE)="Evo",3,IF(VLOOKUP(AB7,heroes[[Hero]:[Evo?]],4,FALSE)="Devo",0))),5)</f>
        <v>4</v>
      </c>
      <c r="AF7" s="229">
        <f t="shared" si="0"/>
        <v>2</v>
      </c>
      <c r="AG7" s="229" t="str">
        <f>+_xlfn.IFNA(VLOOKUP(AB7,heroes[[Hero]:[Evo?]],4,FALSE),"No")</f>
        <v>No</v>
      </c>
      <c r="AH7" s="229">
        <f t="shared" si="1"/>
        <v>6000</v>
      </c>
      <c r="AI7" s="229">
        <f t="shared" si="2"/>
        <v>0</v>
      </c>
    </row>
    <row r="8" spans="1:38" ht="15" customHeight="1" x14ac:dyDescent="0.25">
      <c r="A8" s="230"/>
      <c r="B8" s="282"/>
      <c r="C8" s="280">
        <v>5</v>
      </c>
      <c r="D8" s="235"/>
      <c r="E8" s="282"/>
      <c r="F8" s="280">
        <v>7</v>
      </c>
      <c r="G8" s="235"/>
      <c r="H8" s="282"/>
      <c r="I8" s="280">
        <v>5</v>
      </c>
      <c r="J8" s="235"/>
      <c r="K8" s="282"/>
      <c r="L8" s="280">
        <v>5</v>
      </c>
      <c r="M8" s="235"/>
      <c r="N8" s="282"/>
      <c r="O8" s="280">
        <v>4</v>
      </c>
      <c r="P8" s="233"/>
      <c r="AB8" s="229" t="s">
        <v>27</v>
      </c>
      <c r="AC8" s="229" t="s">
        <v>213</v>
      </c>
      <c r="AD8" s="229">
        <f>+L22</f>
        <v>2</v>
      </c>
      <c r="AE8" s="229">
        <f>+_xlfn.IFNA(IF(VLOOKUP(AB8,heroes[[Hero]:[Evo?]],4,FALSE)="No",4,IF(VLOOKUP(AB8,heroes[[Hero]:[Evo?]],4,FALSE)="Evo",3,IF(VLOOKUP(AB8,heroes[[Hero]:[Evo?]],4,FALSE)="Devo",0))),5)</f>
        <v>4</v>
      </c>
      <c r="AF8" s="229">
        <f t="shared" si="0"/>
        <v>-2</v>
      </c>
      <c r="AG8" s="229" t="str">
        <f>+_xlfn.IFNA(VLOOKUP(AB8,heroes[[Hero]:[Evo?]],4,FALSE),"No")</f>
        <v>No</v>
      </c>
      <c r="AH8" s="229">
        <f t="shared" si="1"/>
        <v>6000</v>
      </c>
      <c r="AI8" s="229">
        <f t="shared" si="2"/>
        <v>40000</v>
      </c>
    </row>
    <row r="9" spans="1:38" ht="15" customHeight="1" x14ac:dyDescent="0.25">
      <c r="A9" s="230"/>
      <c r="B9" s="283"/>
      <c r="C9" s="281"/>
      <c r="D9" s="235"/>
      <c r="E9" s="283"/>
      <c r="F9" s="281"/>
      <c r="G9" s="235"/>
      <c r="H9" s="283"/>
      <c r="I9" s="281"/>
      <c r="J9" s="235"/>
      <c r="K9" s="283"/>
      <c r="L9" s="281"/>
      <c r="M9" s="235"/>
      <c r="N9" s="283"/>
      <c r="O9" s="281"/>
      <c r="P9" s="233"/>
      <c r="AB9" s="229" t="s">
        <v>29</v>
      </c>
      <c r="AC9" s="229" t="s">
        <v>214</v>
      </c>
      <c r="AD9" s="229">
        <f>+L4</f>
        <v>4</v>
      </c>
      <c r="AE9" s="229">
        <f>+_xlfn.IFNA(IF(VLOOKUP(AB9,heroes[[Hero]:[Evo?]],4,FALSE)="No",4,IF(VLOOKUP(AB9,heroes[[Hero]:[Evo?]],4,FALSE)="Evo",3,IF(VLOOKUP(AB9,heroes[[Hero]:[Evo?]],4,FALSE)="Devo",0))),5)</f>
        <v>4</v>
      </c>
      <c r="AF9" s="229">
        <f t="shared" si="0"/>
        <v>0</v>
      </c>
      <c r="AG9" s="229" t="str">
        <f>+_xlfn.IFNA(VLOOKUP(AB9,heroes[[Hero]:[Evo?]],4,FALSE),"No")</f>
        <v>No</v>
      </c>
      <c r="AH9" s="229">
        <f t="shared" si="1"/>
        <v>6000</v>
      </c>
      <c r="AI9" s="229">
        <f t="shared" si="2"/>
        <v>0</v>
      </c>
    </row>
    <row r="10" spans="1:38" ht="15" customHeight="1" x14ac:dyDescent="0.25">
      <c r="A10" s="230"/>
      <c r="B10" s="284"/>
      <c r="C10" s="234">
        <f>+AF17</f>
        <v>5</v>
      </c>
      <c r="D10" s="235"/>
      <c r="E10" s="284"/>
      <c r="F10" s="234">
        <f>+AF6</f>
        <v>4</v>
      </c>
      <c r="G10" s="235"/>
      <c r="H10" s="284"/>
      <c r="I10" s="234">
        <f>+AF20</f>
        <v>1</v>
      </c>
      <c r="J10" s="235"/>
      <c r="K10" s="284"/>
      <c r="L10" s="234">
        <f>+AF34</f>
        <v>1</v>
      </c>
      <c r="M10" s="235"/>
      <c r="N10" s="284"/>
      <c r="O10" s="234">
        <f>+AF28</f>
        <v>1</v>
      </c>
      <c r="P10" s="233"/>
      <c r="AB10" s="229" t="s">
        <v>31</v>
      </c>
      <c r="AC10" s="229" t="s">
        <v>213</v>
      </c>
      <c r="AD10" s="229">
        <f>+I14</f>
        <v>6</v>
      </c>
      <c r="AE10" s="229">
        <f>+_xlfn.IFNA(IF(VLOOKUP(AB10,heroes[[Hero]:[Evo?]],4,FALSE)="No",4,IF(VLOOKUP(AB10,heroes[[Hero]:[Evo?]],4,FALSE)="Evo",3,IF(VLOOKUP(AB10,heroes[[Hero]:[Evo?]],4,FALSE)="Devo",0))),5)</f>
        <v>3</v>
      </c>
      <c r="AF10" s="229">
        <f t="shared" si="0"/>
        <v>3</v>
      </c>
      <c r="AG10" s="229" t="str">
        <f>+_xlfn.IFNA(VLOOKUP(AB10,heroes[[Hero]:[Evo?]],4,FALSE),"No")</f>
        <v>Evo</v>
      </c>
      <c r="AH10" s="229">
        <f t="shared" si="1"/>
        <v>5000</v>
      </c>
      <c r="AI10" s="229">
        <f t="shared" si="2"/>
        <v>0</v>
      </c>
    </row>
    <row r="11" spans="1:38" x14ac:dyDescent="0.25">
      <c r="B11" s="232"/>
      <c r="C11" s="232"/>
      <c r="E11" s="232"/>
      <c r="F11" s="232"/>
      <c r="H11" s="232"/>
      <c r="I11" s="232"/>
      <c r="K11" s="232"/>
      <c r="L11" s="232"/>
      <c r="N11" s="232"/>
      <c r="O11" s="232"/>
      <c r="AB11" s="229" t="s">
        <v>35</v>
      </c>
      <c r="AC11" s="229" t="s">
        <v>213</v>
      </c>
      <c r="AD11" s="229">
        <f>+R14</f>
        <v>9</v>
      </c>
      <c r="AE11" s="229">
        <f>+_xlfn.IFNA(IF(VLOOKUP(AB11,heroes[[Hero]:[Evo?]],4,FALSE)="No",4,IF(VLOOKUP(AB11,heroes[[Hero]:[Evo?]],4,FALSE)="Evo",3,IF(VLOOKUP(AB11,heroes[[Hero]:[Evo?]],4,FALSE)="Devo",0))),5)</f>
        <v>4</v>
      </c>
      <c r="AF11" s="229">
        <f t="shared" si="0"/>
        <v>5</v>
      </c>
      <c r="AG11" s="229" t="str">
        <f>+_xlfn.IFNA(VLOOKUP(AB11,heroes[[Hero]:[Evo?]],4,FALSE),"No")</f>
        <v>No</v>
      </c>
      <c r="AH11" s="229">
        <f t="shared" si="1"/>
        <v>6000</v>
      </c>
      <c r="AI11" s="229">
        <f t="shared" si="2"/>
        <v>0</v>
      </c>
    </row>
    <row r="12" spans="1:38" ht="19.5" x14ac:dyDescent="0.25">
      <c r="B12" s="238" t="s">
        <v>211</v>
      </c>
      <c r="C12" s="238"/>
      <c r="D12" s="238"/>
      <c r="E12" s="238"/>
      <c r="F12" s="238"/>
      <c r="G12" s="238"/>
      <c r="H12" s="238"/>
      <c r="I12" s="238"/>
      <c r="J12" s="238"/>
      <c r="K12" s="238"/>
      <c r="L12" s="238"/>
      <c r="M12" s="238"/>
      <c r="N12" s="278">
        <f>+SUMIFS(AI4:AI49,AC4:AC49,"R")</f>
        <v>660000</v>
      </c>
      <c r="O12" s="279"/>
      <c r="P12" s="238"/>
      <c r="Q12" s="278">
        <f>+SUMIFS(AH4:AH49,AC4:AC49,"R")</f>
        <v>133000</v>
      </c>
      <c r="R12" s="279"/>
      <c r="AB12" s="229" t="s">
        <v>41</v>
      </c>
      <c r="AC12" s="229" t="s">
        <v>213</v>
      </c>
      <c r="AD12" s="229">
        <f>+I26</f>
        <v>5</v>
      </c>
      <c r="AE12" s="229">
        <f>+_xlfn.IFNA(IF(VLOOKUP(AB12,heroes[[Hero]:[Evo?]],4,FALSE)="No",4,IF(VLOOKUP(AB12,heroes[[Hero]:[Evo?]],4,FALSE)="Evo",3,IF(VLOOKUP(AB12,heroes[[Hero]:[Evo?]],4,FALSE)="Devo",0))),5)</f>
        <v>4</v>
      </c>
      <c r="AF12" s="229">
        <f t="shared" si="0"/>
        <v>1</v>
      </c>
      <c r="AG12" s="229" t="str">
        <f>+_xlfn.IFNA(VLOOKUP(AB12,heroes[[Hero]:[Evo?]],4,FALSE),"No")</f>
        <v>No</v>
      </c>
      <c r="AH12" s="229">
        <f t="shared" si="1"/>
        <v>6000</v>
      </c>
      <c r="AI12" s="229">
        <f t="shared" si="2"/>
        <v>0</v>
      </c>
    </row>
    <row r="13" spans="1:38" x14ac:dyDescent="0.25">
      <c r="B13" s="12"/>
      <c r="C13" s="12"/>
      <c r="D13" s="232"/>
      <c r="E13" s="12"/>
      <c r="F13" s="12"/>
      <c r="G13" s="232"/>
      <c r="H13" s="12"/>
      <c r="I13" s="12"/>
      <c r="J13" s="232"/>
      <c r="K13" s="12"/>
      <c r="L13" s="12"/>
      <c r="M13" s="232"/>
      <c r="N13" s="12"/>
      <c r="O13" s="12"/>
      <c r="P13" s="232"/>
      <c r="Q13" s="12"/>
      <c r="R13" s="12"/>
      <c r="AB13" s="229" t="s">
        <v>43</v>
      </c>
      <c r="AC13" s="229" t="s">
        <v>213</v>
      </c>
      <c r="AD13" s="229">
        <f>+F22</f>
        <v>0</v>
      </c>
      <c r="AE13" s="229">
        <f>+_xlfn.IFNA(IF(VLOOKUP(AB13,heroes[[Hero]:[Evo?]],4,FALSE)="No",4,IF(VLOOKUP(AB13,heroes[[Hero]:[Evo?]],4,FALSE)="Evo",3,IF(VLOOKUP(AB13,heroes[[Hero]:[Evo?]],4,FALSE)="Devo",0))),5)</f>
        <v>0</v>
      </c>
      <c r="AF13" s="229">
        <f t="shared" si="0"/>
        <v>0</v>
      </c>
      <c r="AG13" s="229" t="str">
        <f>+_xlfn.IFNA(VLOOKUP(AB13,heroes[[Hero]:[Evo?]],4,FALSE),"No")</f>
        <v>Devo</v>
      </c>
      <c r="AH13" s="229">
        <f t="shared" si="1"/>
        <v>0</v>
      </c>
      <c r="AI13" s="229">
        <f t="shared" si="2"/>
        <v>0</v>
      </c>
    </row>
    <row r="14" spans="1:38" ht="15" customHeight="1" x14ac:dyDescent="0.25">
      <c r="A14" s="230"/>
      <c r="B14" s="282"/>
      <c r="C14" s="280">
        <v>7</v>
      </c>
      <c r="D14" s="235"/>
      <c r="E14" s="282"/>
      <c r="F14" s="280">
        <v>6</v>
      </c>
      <c r="G14" s="235"/>
      <c r="H14" s="282"/>
      <c r="I14" s="280">
        <v>6</v>
      </c>
      <c r="J14" s="235"/>
      <c r="K14" s="282"/>
      <c r="L14" s="280">
        <v>2</v>
      </c>
      <c r="M14" s="235"/>
      <c r="N14" s="282"/>
      <c r="O14" s="280">
        <v>5</v>
      </c>
      <c r="P14" s="235"/>
      <c r="Q14" s="282"/>
      <c r="R14" s="280">
        <v>9</v>
      </c>
      <c r="S14" s="233"/>
      <c r="T14" s="233"/>
      <c r="U14" s="233"/>
      <c r="V14" s="233"/>
      <c r="W14" s="233"/>
      <c r="X14" s="233"/>
      <c r="Y14" s="233"/>
      <c r="Z14" s="233"/>
      <c r="AA14" s="233"/>
      <c r="AB14" s="229" t="s">
        <v>45</v>
      </c>
      <c r="AC14" s="229" t="s">
        <v>214</v>
      </c>
      <c r="AD14" s="229">
        <f>+O4</f>
        <v>4</v>
      </c>
      <c r="AE14" s="229">
        <f>+_xlfn.IFNA(IF(VLOOKUP(AB14,heroes[[Hero]:[Evo?]],4,FALSE)="No",4,IF(VLOOKUP(AB14,heroes[[Hero]:[Evo?]],4,FALSE)="Evo",3,IF(VLOOKUP(AB14,heroes[[Hero]:[Evo?]],4,FALSE)="Devo",0))),5)</f>
        <v>3</v>
      </c>
      <c r="AF14" s="229">
        <f t="shared" si="0"/>
        <v>1</v>
      </c>
      <c r="AG14" s="229" t="str">
        <f>+_xlfn.IFNA(VLOOKUP(AB14,heroes[[Hero]:[Evo?]],4,FALSE),"No")</f>
        <v>Evo</v>
      </c>
      <c r="AH14" s="229">
        <f t="shared" si="1"/>
        <v>5000</v>
      </c>
      <c r="AI14" s="229">
        <f t="shared" si="2"/>
        <v>0</v>
      </c>
    </row>
    <row r="15" spans="1:38" ht="15" customHeight="1" x14ac:dyDescent="0.25">
      <c r="A15" s="230"/>
      <c r="B15" s="283"/>
      <c r="C15" s="281"/>
      <c r="D15" s="235"/>
      <c r="E15" s="283"/>
      <c r="F15" s="281"/>
      <c r="G15" s="235"/>
      <c r="H15" s="283"/>
      <c r="I15" s="281"/>
      <c r="J15" s="235"/>
      <c r="K15" s="283"/>
      <c r="L15" s="281"/>
      <c r="M15" s="235"/>
      <c r="N15" s="283"/>
      <c r="O15" s="281"/>
      <c r="P15" s="235"/>
      <c r="Q15" s="283"/>
      <c r="R15" s="281"/>
      <c r="S15" s="233"/>
      <c r="T15" s="233"/>
      <c r="U15" s="233"/>
      <c r="V15" s="233"/>
      <c r="W15" s="233"/>
      <c r="X15" s="233"/>
      <c r="Y15" s="233"/>
      <c r="Z15" s="233"/>
      <c r="AA15" s="233"/>
      <c r="AB15" s="229" t="s">
        <v>55</v>
      </c>
      <c r="AC15" s="229" t="s">
        <v>213</v>
      </c>
      <c r="AD15" s="229">
        <f>+I22</f>
        <v>0</v>
      </c>
      <c r="AE15" s="229">
        <f>+_xlfn.IFNA(IF(VLOOKUP(AB15,heroes[[Hero]:[Evo?]],4,FALSE)="No",4,IF(VLOOKUP(AB15,heroes[[Hero]:[Evo?]],4,FALSE)="Evo",3,IF(VLOOKUP(AB15,heroes[[Hero]:[Evo?]],4,FALSE)="Devo",0))),5)</f>
        <v>0</v>
      </c>
      <c r="AF15" s="229">
        <f t="shared" si="0"/>
        <v>0</v>
      </c>
      <c r="AG15" s="229" t="str">
        <f>+_xlfn.IFNA(VLOOKUP(AB15,heroes[[Hero]:[Evo?]],4,FALSE),"No")</f>
        <v>Devo</v>
      </c>
      <c r="AH15" s="229">
        <f t="shared" si="1"/>
        <v>0</v>
      </c>
      <c r="AI15" s="229">
        <f t="shared" si="2"/>
        <v>0</v>
      </c>
    </row>
    <row r="16" spans="1:38" ht="15" customHeight="1" x14ac:dyDescent="0.25">
      <c r="A16" s="230"/>
      <c r="B16" s="284"/>
      <c r="C16" s="234">
        <f>+AF30</f>
        <v>7</v>
      </c>
      <c r="D16" s="235"/>
      <c r="E16" s="284"/>
      <c r="F16" s="234">
        <f>+AF36</f>
        <v>6</v>
      </c>
      <c r="G16" s="235"/>
      <c r="H16" s="284"/>
      <c r="I16" s="234">
        <f>+AF10</f>
        <v>3</v>
      </c>
      <c r="J16" s="235"/>
      <c r="K16" s="284"/>
      <c r="L16" s="234">
        <f>+AF5</f>
        <v>-1</v>
      </c>
      <c r="M16" s="235"/>
      <c r="N16" s="284"/>
      <c r="O16" s="234">
        <f>+AF42</f>
        <v>2</v>
      </c>
      <c r="P16" s="235"/>
      <c r="Q16" s="284"/>
      <c r="R16" s="234">
        <f>+AF11</f>
        <v>5</v>
      </c>
      <c r="S16" s="233"/>
      <c r="T16" s="233"/>
      <c r="U16" s="233"/>
      <c r="V16" s="233"/>
      <c r="W16" s="233"/>
      <c r="X16" s="233"/>
      <c r="Y16" s="233"/>
      <c r="Z16" s="233"/>
      <c r="AA16" s="233"/>
      <c r="AB16" s="229" t="s">
        <v>56</v>
      </c>
      <c r="AC16" s="229" t="s">
        <v>213</v>
      </c>
      <c r="AD16" s="229">
        <f>+F26</f>
        <v>1</v>
      </c>
      <c r="AE16" s="229">
        <f>+_xlfn.IFNA(IF(VLOOKUP(AB16,heroes[[Hero]:[Evo?]],4,FALSE)="No",4,IF(VLOOKUP(AB16,heroes[[Hero]:[Evo?]],4,FALSE)="Evo",3,IF(VLOOKUP(AB16,heroes[[Hero]:[Evo?]],4,FALSE)="Devo",0))),5)</f>
        <v>0</v>
      </c>
      <c r="AF16" s="229">
        <f t="shared" si="0"/>
        <v>1</v>
      </c>
      <c r="AG16" s="229" t="str">
        <f>+_xlfn.IFNA(VLOOKUP(AB16,heroes[[Hero]:[Evo?]],4,FALSE),"No")</f>
        <v>Devo</v>
      </c>
      <c r="AH16" s="229">
        <f t="shared" si="1"/>
        <v>0</v>
      </c>
      <c r="AI16" s="229">
        <f t="shared" si="2"/>
        <v>0</v>
      </c>
    </row>
    <row r="17" spans="1:35" x14ac:dyDescent="0.25">
      <c r="B17" s="12"/>
      <c r="C17" s="12"/>
      <c r="E17" s="12"/>
      <c r="F17" s="12"/>
      <c r="H17" s="12"/>
      <c r="I17" s="12"/>
      <c r="K17" s="12"/>
      <c r="L17" s="12"/>
      <c r="N17" s="12"/>
      <c r="O17" s="12"/>
      <c r="Q17" s="12"/>
      <c r="R17" s="12"/>
      <c r="AB17" s="229" t="s">
        <v>57</v>
      </c>
      <c r="AC17" s="229" t="s">
        <v>213</v>
      </c>
      <c r="AD17" s="229">
        <f>+C8</f>
        <v>5</v>
      </c>
      <c r="AE17" s="229">
        <f>+_xlfn.IFNA(IF(VLOOKUP(AB17,heroes[[Hero]:[Evo?]],4,FALSE)="No",4,IF(VLOOKUP(AB17,heroes[[Hero]:[Evo?]],4,FALSE)="Evo",3,IF(VLOOKUP(AB17,heroes[[Hero]:[Evo?]],4,FALSE)="Devo",0))),5)</f>
        <v>0</v>
      </c>
      <c r="AF17" s="229">
        <f t="shared" si="0"/>
        <v>5</v>
      </c>
      <c r="AG17" s="229" t="str">
        <f>+_xlfn.IFNA(VLOOKUP(AB17,heroes[[Hero]:[Evo?]],4,FALSE),"No")</f>
        <v>Devo</v>
      </c>
      <c r="AH17" s="229">
        <f t="shared" si="1"/>
        <v>0</v>
      </c>
      <c r="AI17" s="229">
        <f t="shared" si="2"/>
        <v>0</v>
      </c>
    </row>
    <row r="18" spans="1:35" ht="15" customHeight="1" x14ac:dyDescent="0.25">
      <c r="A18" s="230"/>
      <c r="B18" s="282"/>
      <c r="C18" s="280">
        <v>8</v>
      </c>
      <c r="D18" s="235"/>
      <c r="E18" s="282"/>
      <c r="F18" s="280">
        <v>4</v>
      </c>
      <c r="G18" s="235"/>
      <c r="H18" s="282"/>
      <c r="I18" s="280">
        <v>3</v>
      </c>
      <c r="J18" s="235"/>
      <c r="K18" s="282"/>
      <c r="L18" s="280">
        <v>2</v>
      </c>
      <c r="M18" s="235"/>
      <c r="N18" s="282"/>
      <c r="O18" s="280">
        <v>11</v>
      </c>
      <c r="P18" s="235"/>
      <c r="Q18" s="282"/>
      <c r="R18" s="280">
        <v>7</v>
      </c>
      <c r="S18" s="233"/>
      <c r="T18" s="233"/>
      <c r="U18" s="233"/>
      <c r="V18" s="233"/>
      <c r="W18" s="233"/>
      <c r="X18" s="233"/>
      <c r="Y18" s="233"/>
      <c r="Z18" s="233"/>
      <c r="AA18" s="233"/>
      <c r="AB18" s="229" t="s">
        <v>58</v>
      </c>
      <c r="AC18" s="229" t="s">
        <v>213</v>
      </c>
      <c r="AD18" s="229">
        <f>+R18</f>
        <v>7</v>
      </c>
      <c r="AE18" s="229">
        <f>+_xlfn.IFNA(IF(VLOOKUP(AB18,heroes[[Hero]:[Evo?]],4,FALSE)="No",4,IF(VLOOKUP(AB18,heroes[[Hero]:[Evo?]],4,FALSE)="Evo",3,IF(VLOOKUP(AB18,heroes[[Hero]:[Evo?]],4,FALSE)="Devo",0))),5)</f>
        <v>3</v>
      </c>
      <c r="AF18" s="229">
        <f t="shared" si="0"/>
        <v>4</v>
      </c>
      <c r="AG18" s="229" t="str">
        <f>+_xlfn.IFNA(VLOOKUP(AB18,heroes[[Hero]:[Evo?]],4,FALSE),"No")</f>
        <v>Evo</v>
      </c>
      <c r="AH18" s="229">
        <f t="shared" si="1"/>
        <v>5000</v>
      </c>
      <c r="AI18" s="229">
        <f t="shared" si="2"/>
        <v>0</v>
      </c>
    </row>
    <row r="19" spans="1:35" ht="15" customHeight="1" x14ac:dyDescent="0.25">
      <c r="A19" s="230"/>
      <c r="B19" s="283"/>
      <c r="C19" s="281"/>
      <c r="D19" s="235"/>
      <c r="E19" s="283"/>
      <c r="F19" s="281"/>
      <c r="G19" s="235"/>
      <c r="H19" s="283"/>
      <c r="I19" s="281"/>
      <c r="J19" s="235"/>
      <c r="K19" s="283"/>
      <c r="L19" s="281"/>
      <c r="M19" s="235"/>
      <c r="N19" s="283"/>
      <c r="O19" s="281"/>
      <c r="P19" s="235"/>
      <c r="Q19" s="283"/>
      <c r="R19" s="281"/>
      <c r="S19" s="233"/>
      <c r="T19" s="233"/>
      <c r="U19" s="233"/>
      <c r="V19" s="233"/>
      <c r="W19" s="233"/>
      <c r="X19" s="233"/>
      <c r="Y19" s="233"/>
      <c r="Z19" s="233"/>
      <c r="AA19" s="233"/>
      <c r="AB19" s="229" t="s">
        <v>59</v>
      </c>
      <c r="AC19" s="229" t="s">
        <v>213</v>
      </c>
      <c r="AD19" s="229">
        <f>+I30</f>
        <v>1</v>
      </c>
      <c r="AE19" s="229">
        <f>+_xlfn.IFNA(IF(VLOOKUP(AB19,heroes[[Hero]:[Evo?]],4,FALSE)="No",4,IF(VLOOKUP(AB19,heroes[[Hero]:[Evo?]],4,FALSE)="Evo",3,IF(VLOOKUP(AB19,heroes[[Hero]:[Evo?]],4,FALSE)="Devo",0))),5)</f>
        <v>3</v>
      </c>
      <c r="AF19" s="229">
        <f t="shared" si="0"/>
        <v>-2</v>
      </c>
      <c r="AG19" s="229" t="str">
        <f>+_xlfn.IFNA(VLOOKUP(AB19,heroes[[Hero]:[Evo?]],4,FALSE),"No")</f>
        <v>Evo</v>
      </c>
      <c r="AH19" s="229">
        <f t="shared" si="1"/>
        <v>5000</v>
      </c>
      <c r="AI19" s="229">
        <f t="shared" si="2"/>
        <v>40000</v>
      </c>
    </row>
    <row r="20" spans="1:35" ht="15" customHeight="1" x14ac:dyDescent="0.25">
      <c r="A20" s="230"/>
      <c r="B20" s="284"/>
      <c r="C20" s="234">
        <f>+AF26</f>
        <v>4</v>
      </c>
      <c r="D20" s="235"/>
      <c r="E20" s="284"/>
      <c r="F20" s="234">
        <f>+AF33</f>
        <v>1</v>
      </c>
      <c r="G20" s="235"/>
      <c r="H20" s="284"/>
      <c r="I20" s="234">
        <f>+AF29</f>
        <v>0</v>
      </c>
      <c r="J20" s="235"/>
      <c r="K20" s="284"/>
      <c r="L20" s="234">
        <f>+AF43</f>
        <v>2</v>
      </c>
      <c r="M20" s="235"/>
      <c r="N20" s="284"/>
      <c r="O20" s="234">
        <f>+AF39</f>
        <v>8</v>
      </c>
      <c r="P20" s="235"/>
      <c r="Q20" s="284"/>
      <c r="R20" s="234">
        <f>+AF18</f>
        <v>4</v>
      </c>
      <c r="S20" s="233"/>
      <c r="T20" s="233"/>
      <c r="U20" s="233"/>
      <c r="V20" s="233"/>
      <c r="W20" s="233"/>
      <c r="X20" s="233"/>
      <c r="Y20" s="233"/>
      <c r="Z20" s="233"/>
      <c r="AA20" s="233"/>
      <c r="AB20" s="229" t="s">
        <v>62</v>
      </c>
      <c r="AC20" s="229" t="s">
        <v>214</v>
      </c>
      <c r="AD20" s="229">
        <f>+I8</f>
        <v>5</v>
      </c>
      <c r="AE20" s="229">
        <f>+_xlfn.IFNA(IF(VLOOKUP(AB20,heroes[[Hero]:[Evo?]],4,FALSE)="No",4,IF(VLOOKUP(AB20,heroes[[Hero]:[Evo?]],4,FALSE)="Evo",3,IF(VLOOKUP(AB20,heroes[[Hero]:[Evo?]],4,FALSE)="Devo",0))),5)</f>
        <v>4</v>
      </c>
      <c r="AF20" s="229">
        <f t="shared" si="0"/>
        <v>1</v>
      </c>
      <c r="AG20" s="229" t="str">
        <f>+_xlfn.IFNA(VLOOKUP(AB20,heroes[[Hero]:[Evo?]],4,FALSE),"No")</f>
        <v>No</v>
      </c>
      <c r="AH20" s="229">
        <f t="shared" si="1"/>
        <v>6000</v>
      </c>
      <c r="AI20" s="229">
        <f t="shared" si="2"/>
        <v>0</v>
      </c>
    </row>
    <row r="21" spans="1:35" x14ac:dyDescent="0.25">
      <c r="B21" s="12"/>
      <c r="C21" s="12"/>
      <c r="E21" s="12"/>
      <c r="F21" s="12"/>
      <c r="H21" s="12"/>
      <c r="I21" s="12"/>
      <c r="K21" s="12"/>
      <c r="L21" s="12"/>
      <c r="N21" s="12"/>
      <c r="O21" s="12"/>
      <c r="Q21" s="12"/>
      <c r="R21" s="12"/>
      <c r="AB21" s="229" t="s">
        <v>63</v>
      </c>
      <c r="AC21" s="229" t="s">
        <v>213</v>
      </c>
      <c r="AD21" s="229">
        <f>+C26</f>
        <v>3</v>
      </c>
      <c r="AE21" s="229">
        <f>+_xlfn.IFNA(IF(VLOOKUP(AB21,heroes[[Hero]:[Evo?]],4,FALSE)="No",4,IF(VLOOKUP(AB21,heroes[[Hero]:[Evo?]],4,FALSE)="Evo",3,IF(VLOOKUP(AB21,heroes[[Hero]:[Evo?]],4,FALSE)="Devo",0))),5)</f>
        <v>3</v>
      </c>
      <c r="AF21" s="229">
        <f t="shared" si="0"/>
        <v>0</v>
      </c>
      <c r="AG21" s="229" t="str">
        <f>+_xlfn.IFNA(VLOOKUP(AB21,heroes[[Hero]:[Evo?]],4,FALSE),"No")</f>
        <v>Evo</v>
      </c>
      <c r="AH21" s="229">
        <f t="shared" si="1"/>
        <v>5000</v>
      </c>
      <c r="AI21" s="229">
        <f t="shared" si="2"/>
        <v>0</v>
      </c>
    </row>
    <row r="22" spans="1:35" ht="15" customHeight="1" x14ac:dyDescent="0.25">
      <c r="A22" s="230"/>
      <c r="B22" s="282"/>
      <c r="C22" s="280">
        <v>1</v>
      </c>
      <c r="D22" s="235"/>
      <c r="E22" s="282"/>
      <c r="F22" s="280">
        <v>0</v>
      </c>
      <c r="G22" s="235"/>
      <c r="H22" s="282"/>
      <c r="I22" s="280">
        <v>0</v>
      </c>
      <c r="J22" s="235"/>
      <c r="K22" s="282"/>
      <c r="L22" s="280">
        <v>2</v>
      </c>
      <c r="M22" s="235"/>
      <c r="N22" s="282"/>
      <c r="O22" s="280">
        <v>1</v>
      </c>
      <c r="P22" s="235"/>
      <c r="Q22" s="282"/>
      <c r="R22" s="280">
        <v>6</v>
      </c>
      <c r="S22" s="233"/>
      <c r="T22" s="233"/>
      <c r="U22" s="233"/>
      <c r="V22" s="233"/>
      <c r="W22" s="233"/>
      <c r="X22" s="233"/>
      <c r="Y22" s="233"/>
      <c r="Z22" s="233"/>
      <c r="AA22" s="233"/>
      <c r="AB22" s="229" t="s">
        <v>64</v>
      </c>
      <c r="AC22" s="229" t="s">
        <v>213</v>
      </c>
      <c r="AD22" s="229">
        <f>+C30</f>
        <v>2</v>
      </c>
      <c r="AE22" s="229">
        <f>+_xlfn.IFNA(IF(VLOOKUP(AB22,heroes[[Hero]:[Evo?]],4,FALSE)="No",4,IF(VLOOKUP(AB22,heroes[[Hero]:[Evo?]],4,FALSE)="Evo",3,IF(VLOOKUP(AB22,heroes[[Hero]:[Evo?]],4,FALSE)="Devo",0))),5)</f>
        <v>4</v>
      </c>
      <c r="AF22" s="229">
        <f t="shared" si="0"/>
        <v>-2</v>
      </c>
      <c r="AG22" s="229" t="str">
        <f>+_xlfn.IFNA(VLOOKUP(AB22,heroes[[Hero]:[Evo?]],4,FALSE),"No")</f>
        <v>No</v>
      </c>
      <c r="AH22" s="229">
        <f t="shared" si="1"/>
        <v>6000</v>
      </c>
      <c r="AI22" s="229">
        <f t="shared" si="2"/>
        <v>40000</v>
      </c>
    </row>
    <row r="23" spans="1:35" ht="15" customHeight="1" x14ac:dyDescent="0.25">
      <c r="A23" s="230"/>
      <c r="B23" s="283"/>
      <c r="C23" s="281"/>
      <c r="D23" s="235"/>
      <c r="E23" s="283"/>
      <c r="F23" s="281"/>
      <c r="G23" s="235"/>
      <c r="H23" s="283"/>
      <c r="I23" s="281"/>
      <c r="J23" s="235"/>
      <c r="K23" s="283"/>
      <c r="L23" s="281"/>
      <c r="M23" s="235"/>
      <c r="N23" s="283"/>
      <c r="O23" s="281"/>
      <c r="P23" s="235"/>
      <c r="Q23" s="283"/>
      <c r="R23" s="281"/>
      <c r="S23" s="233"/>
      <c r="T23" s="233"/>
      <c r="U23" s="233"/>
      <c r="V23" s="233"/>
      <c r="W23" s="233"/>
      <c r="X23" s="233"/>
      <c r="Y23" s="233"/>
      <c r="Z23" s="233"/>
      <c r="AA23" s="233"/>
      <c r="AB23" s="229" t="s">
        <v>67</v>
      </c>
      <c r="AC23" s="229" t="s">
        <v>213</v>
      </c>
      <c r="AD23" s="229">
        <f>+L26</f>
        <v>0</v>
      </c>
      <c r="AE23" s="229">
        <f>+_xlfn.IFNA(IF(VLOOKUP(AB23,heroes[[Hero]:[Evo?]],4,FALSE)="No",4,IF(VLOOKUP(AB23,heroes[[Hero]:[Evo?]],4,FALSE)="Evo",3,IF(VLOOKUP(AB23,heroes[[Hero]:[Evo?]],4,FALSE)="Devo",0))),5)</f>
        <v>4</v>
      </c>
      <c r="AF23" s="229">
        <f t="shared" si="0"/>
        <v>-4</v>
      </c>
      <c r="AG23" s="229" t="str">
        <f>+_xlfn.IFNA(VLOOKUP(AB23,heroes[[Hero]:[Evo?]],4,FALSE),"No")</f>
        <v>No</v>
      </c>
      <c r="AH23" s="229">
        <f t="shared" si="1"/>
        <v>6000</v>
      </c>
      <c r="AI23" s="229">
        <f t="shared" si="2"/>
        <v>80000</v>
      </c>
    </row>
    <row r="24" spans="1:35" ht="15" customHeight="1" x14ac:dyDescent="0.25">
      <c r="A24" s="230"/>
      <c r="B24" s="284"/>
      <c r="C24" s="234">
        <f>+AF35</f>
        <v>-2</v>
      </c>
      <c r="D24" s="235"/>
      <c r="E24" s="284"/>
      <c r="F24" s="234">
        <f>+AF13</f>
        <v>0</v>
      </c>
      <c r="G24" s="235"/>
      <c r="H24" s="284"/>
      <c r="I24" s="234">
        <f>+AF15</f>
        <v>0</v>
      </c>
      <c r="J24" s="235"/>
      <c r="K24" s="284"/>
      <c r="L24" s="234">
        <f>+AF8</f>
        <v>-2</v>
      </c>
      <c r="M24" s="235"/>
      <c r="N24" s="284"/>
      <c r="O24" s="234">
        <f>+AF41</f>
        <v>-2</v>
      </c>
      <c r="P24" s="235"/>
      <c r="Q24" s="284"/>
      <c r="R24" s="234">
        <f>+AF7</f>
        <v>2</v>
      </c>
      <c r="S24" s="233"/>
      <c r="T24" s="233"/>
      <c r="U24" s="233"/>
      <c r="V24" s="233"/>
      <c r="W24" s="233"/>
      <c r="X24" s="233"/>
      <c r="Y24" s="233"/>
      <c r="Z24" s="233"/>
      <c r="AA24" s="233"/>
      <c r="AB24" s="229" t="s">
        <v>68</v>
      </c>
      <c r="AC24" s="229" t="s">
        <v>213</v>
      </c>
      <c r="AD24" s="229">
        <f>+F30</f>
        <v>1</v>
      </c>
      <c r="AE24" s="229">
        <f>+_xlfn.IFNA(IF(VLOOKUP(AB24,heroes[[Hero]:[Evo?]],4,FALSE)="No",4,IF(VLOOKUP(AB24,heroes[[Hero]:[Evo?]],4,FALSE)="Evo",3,IF(VLOOKUP(AB24,heroes[[Hero]:[Evo?]],4,FALSE)="Devo",0))),5)</f>
        <v>4</v>
      </c>
      <c r="AF24" s="229">
        <f t="shared" si="0"/>
        <v>-3</v>
      </c>
      <c r="AG24" s="229" t="str">
        <f>+_xlfn.IFNA(VLOOKUP(AB24,heroes[[Hero]:[Evo?]],4,FALSE),"No")</f>
        <v>No</v>
      </c>
      <c r="AH24" s="229">
        <f t="shared" si="1"/>
        <v>6000</v>
      </c>
      <c r="AI24" s="229">
        <f t="shared" si="2"/>
        <v>60000</v>
      </c>
    </row>
    <row r="25" spans="1:35" x14ac:dyDescent="0.25">
      <c r="B25" s="12"/>
      <c r="C25" s="12"/>
      <c r="E25" s="12"/>
      <c r="F25" s="12"/>
      <c r="H25" s="12"/>
      <c r="I25" s="12"/>
      <c r="K25" s="12"/>
      <c r="L25" s="12"/>
      <c r="N25" s="12"/>
      <c r="O25" s="12"/>
      <c r="Q25" s="12"/>
      <c r="R25" s="12"/>
      <c r="AB25" s="229" t="s">
        <v>71</v>
      </c>
      <c r="AC25" s="229" t="s">
        <v>214</v>
      </c>
      <c r="AD25" s="229">
        <f>+F4</f>
        <v>4</v>
      </c>
      <c r="AE25" s="229">
        <f>+_xlfn.IFNA(IF(VLOOKUP(AB25,heroes[[Hero]:[Evo?]],4,FALSE)="No",4,IF(VLOOKUP(AB25,heroes[[Hero]:[Evo?]],4,FALSE)="Evo",3,IF(VLOOKUP(AB25,heroes[[Hero]:[Evo?]],4,FALSE)="Devo",0))),5)</f>
        <v>4</v>
      </c>
      <c r="AF25" s="229">
        <f t="shared" si="0"/>
        <v>0</v>
      </c>
      <c r="AG25" s="229" t="str">
        <f>+_xlfn.IFNA(VLOOKUP(AB25,heroes[[Hero]:[Evo?]],4,FALSE),"No")</f>
        <v>No</v>
      </c>
      <c r="AH25" s="229">
        <f t="shared" si="1"/>
        <v>6000</v>
      </c>
      <c r="AI25" s="229">
        <f t="shared" si="2"/>
        <v>0</v>
      </c>
    </row>
    <row r="26" spans="1:35" ht="15" customHeight="1" x14ac:dyDescent="0.25">
      <c r="A26" s="230"/>
      <c r="B26" s="282"/>
      <c r="C26" s="280">
        <v>3</v>
      </c>
      <c r="D26" s="235"/>
      <c r="E26" s="282"/>
      <c r="F26" s="280">
        <v>1</v>
      </c>
      <c r="G26" s="235"/>
      <c r="H26" s="282"/>
      <c r="I26" s="280">
        <v>5</v>
      </c>
      <c r="J26" s="235"/>
      <c r="K26" s="282"/>
      <c r="L26" s="280">
        <v>0</v>
      </c>
      <c r="M26" s="235"/>
      <c r="N26" s="282"/>
      <c r="O26" s="280">
        <v>1</v>
      </c>
      <c r="P26" s="235"/>
      <c r="Q26" s="282"/>
      <c r="R26" s="280">
        <v>2</v>
      </c>
      <c r="S26" s="233"/>
      <c r="T26" s="233"/>
      <c r="U26" s="233"/>
      <c r="V26" s="233"/>
      <c r="W26" s="233"/>
      <c r="X26" s="233"/>
      <c r="Y26" s="233"/>
      <c r="Z26" s="233"/>
      <c r="AA26" s="233"/>
      <c r="AB26" s="229" t="s">
        <v>72</v>
      </c>
      <c r="AC26" s="229" t="s">
        <v>213</v>
      </c>
      <c r="AD26" s="229">
        <f>+C18</f>
        <v>8</v>
      </c>
      <c r="AE26" s="229">
        <f>+_xlfn.IFNA(IF(VLOOKUP(AB26,heroes[[Hero]:[Evo?]],4,FALSE)="No",4,IF(VLOOKUP(AB26,heroes[[Hero]:[Evo?]],4,FALSE)="Evo",3,IF(VLOOKUP(AB26,heroes[[Hero]:[Evo?]],4,FALSE)="Devo",0))),5)</f>
        <v>4</v>
      </c>
      <c r="AF26" s="229">
        <f t="shared" si="0"/>
        <v>4</v>
      </c>
      <c r="AG26" s="229" t="str">
        <f>+_xlfn.IFNA(VLOOKUP(AB26,heroes[[Hero]:[Evo?]],4,FALSE),"No")</f>
        <v>No</v>
      </c>
      <c r="AH26" s="229">
        <f t="shared" si="1"/>
        <v>6000</v>
      </c>
      <c r="AI26" s="229">
        <f t="shared" si="2"/>
        <v>0</v>
      </c>
    </row>
    <row r="27" spans="1:35" ht="15" customHeight="1" x14ac:dyDescent="0.25">
      <c r="A27" s="230"/>
      <c r="B27" s="283"/>
      <c r="C27" s="281"/>
      <c r="D27" s="235"/>
      <c r="E27" s="283"/>
      <c r="F27" s="281"/>
      <c r="G27" s="235"/>
      <c r="H27" s="283"/>
      <c r="I27" s="281"/>
      <c r="J27" s="235"/>
      <c r="K27" s="283"/>
      <c r="L27" s="281"/>
      <c r="M27" s="235"/>
      <c r="N27" s="283"/>
      <c r="O27" s="281"/>
      <c r="P27" s="235"/>
      <c r="Q27" s="283"/>
      <c r="R27" s="281"/>
      <c r="S27" s="233"/>
      <c r="T27" s="233"/>
      <c r="U27" s="233"/>
      <c r="V27" s="233"/>
      <c r="W27" s="233"/>
      <c r="X27" s="233"/>
      <c r="Y27" s="233"/>
      <c r="Z27" s="233"/>
      <c r="AA27" s="233"/>
      <c r="AB27" s="229" t="s">
        <v>74</v>
      </c>
      <c r="AC27" s="229" t="s">
        <v>214</v>
      </c>
      <c r="AD27" s="229">
        <f>+C4</f>
        <v>4</v>
      </c>
      <c r="AE27" s="229">
        <f>+_xlfn.IFNA(IF(VLOOKUP(AB27,heroes[[Hero]:[Evo?]],4,FALSE)="No",4,IF(VLOOKUP(AB27,heroes[[Hero]:[Evo?]],4,FALSE)="Evo",3,IF(VLOOKUP(AB27,heroes[[Hero]:[Evo?]],4,FALSE)="Devo",0))),5)</f>
        <v>4</v>
      </c>
      <c r="AF27" s="229">
        <f t="shared" si="0"/>
        <v>0</v>
      </c>
      <c r="AG27" s="229" t="str">
        <f>+_xlfn.IFNA(VLOOKUP(AB27,heroes[[Hero]:[Evo?]],4,FALSE),"No")</f>
        <v>No</v>
      </c>
      <c r="AH27" s="229">
        <f t="shared" si="1"/>
        <v>6000</v>
      </c>
      <c r="AI27" s="229">
        <f t="shared" si="2"/>
        <v>0</v>
      </c>
    </row>
    <row r="28" spans="1:35" ht="15" customHeight="1" x14ac:dyDescent="0.25">
      <c r="A28" s="230"/>
      <c r="B28" s="284"/>
      <c r="C28" s="234">
        <f>+AF21</f>
        <v>0</v>
      </c>
      <c r="D28" s="235"/>
      <c r="E28" s="284"/>
      <c r="F28" s="234">
        <f>+AF16</f>
        <v>1</v>
      </c>
      <c r="G28" s="235"/>
      <c r="H28" s="284"/>
      <c r="I28" s="234">
        <f>+AF12</f>
        <v>1</v>
      </c>
      <c r="J28" s="235"/>
      <c r="K28" s="284"/>
      <c r="L28" s="234">
        <f>+AF23</f>
        <v>-4</v>
      </c>
      <c r="M28" s="235"/>
      <c r="N28" s="284"/>
      <c r="O28" s="234">
        <f>+AF40</f>
        <v>-3</v>
      </c>
      <c r="P28" s="235"/>
      <c r="Q28" s="284"/>
      <c r="R28" s="234">
        <f>+AF31</f>
        <v>-2</v>
      </c>
      <c r="S28" s="233"/>
      <c r="T28" s="233"/>
      <c r="U28" s="233"/>
      <c r="V28" s="233"/>
      <c r="W28" s="233"/>
      <c r="X28" s="233"/>
      <c r="Y28" s="233"/>
      <c r="Z28" s="233"/>
      <c r="AA28" s="233"/>
      <c r="AB28" s="229" t="s">
        <v>75</v>
      </c>
      <c r="AC28" s="229" t="s">
        <v>214</v>
      </c>
      <c r="AD28" s="229">
        <f>+O8</f>
        <v>4</v>
      </c>
      <c r="AE28" s="229">
        <f>+_xlfn.IFNA(IF(VLOOKUP(AB28,heroes[[Hero]:[Evo?]],4,FALSE)="No",4,IF(VLOOKUP(AB28,heroes[[Hero]:[Evo?]],4,FALSE)="Evo",3,IF(VLOOKUP(AB28,heroes[[Hero]:[Evo?]],4,FALSE)="Devo",0))),5)</f>
        <v>3</v>
      </c>
      <c r="AF28" s="229">
        <f t="shared" si="0"/>
        <v>1</v>
      </c>
      <c r="AG28" s="229" t="str">
        <f>+_xlfn.IFNA(VLOOKUP(AB28,heroes[[Hero]:[Evo?]],4,FALSE),"No")</f>
        <v>Evo</v>
      </c>
      <c r="AH28" s="229">
        <f t="shared" si="1"/>
        <v>5000</v>
      </c>
      <c r="AI28" s="229">
        <f t="shared" si="2"/>
        <v>0</v>
      </c>
    </row>
    <row r="29" spans="1:35" x14ac:dyDescent="0.25">
      <c r="B29" s="12"/>
      <c r="C29" s="12"/>
      <c r="E29" s="12"/>
      <c r="F29" s="12"/>
      <c r="H29" s="12"/>
      <c r="I29" s="12"/>
      <c r="K29" s="12"/>
      <c r="L29" s="12"/>
      <c r="N29" s="12"/>
      <c r="O29" s="12"/>
      <c r="Q29" s="232"/>
      <c r="R29" s="232"/>
      <c r="AB29" s="229" t="s">
        <v>76</v>
      </c>
      <c r="AC29" s="229" t="s">
        <v>213</v>
      </c>
      <c r="AD29" s="229">
        <f>+I18</f>
        <v>3</v>
      </c>
      <c r="AE29" s="229">
        <f>+_xlfn.IFNA(IF(VLOOKUP(AB29,heroes[[Hero]:[Evo?]],4,FALSE)="No",4,IF(VLOOKUP(AB29,heroes[[Hero]:[Evo?]],4,FALSE)="Evo",3,IF(VLOOKUP(AB29,heroes[[Hero]:[Evo?]],4,FALSE)="Devo",0))),5)</f>
        <v>3</v>
      </c>
      <c r="AF29" s="229">
        <f t="shared" si="0"/>
        <v>0</v>
      </c>
      <c r="AG29" s="229" t="str">
        <f>+_xlfn.IFNA(VLOOKUP(AB29,heroes[[Hero]:[Evo?]],4,FALSE),"No")</f>
        <v>Evo</v>
      </c>
      <c r="AH29" s="229">
        <f t="shared" si="1"/>
        <v>5000</v>
      </c>
      <c r="AI29" s="229">
        <f t="shared" si="2"/>
        <v>0</v>
      </c>
    </row>
    <row r="30" spans="1:35" ht="15" customHeight="1" x14ac:dyDescent="0.25">
      <c r="A30" s="230"/>
      <c r="B30" s="282"/>
      <c r="C30" s="280">
        <v>2</v>
      </c>
      <c r="D30" s="235"/>
      <c r="E30" s="282"/>
      <c r="F30" s="280">
        <v>1</v>
      </c>
      <c r="G30" s="235"/>
      <c r="H30" s="282"/>
      <c r="I30" s="280">
        <v>1</v>
      </c>
      <c r="J30" s="235"/>
      <c r="K30" s="282"/>
      <c r="L30" s="280">
        <v>0</v>
      </c>
      <c r="M30" s="235"/>
      <c r="N30" s="282"/>
      <c r="O30" s="280">
        <v>0</v>
      </c>
      <c r="P30" s="233"/>
      <c r="AB30" s="229" t="s">
        <v>77</v>
      </c>
      <c r="AC30" s="229" t="s">
        <v>213</v>
      </c>
      <c r="AD30" s="229">
        <f>+C14</f>
        <v>7</v>
      </c>
      <c r="AE30" s="229">
        <f>+_xlfn.IFNA(IF(VLOOKUP(AB30,heroes[[Hero]:[Evo?]],4,FALSE)="No",4,IF(VLOOKUP(AB30,heroes[[Hero]:[Evo?]],4,FALSE)="Evo",3,IF(VLOOKUP(AB30,heroes[[Hero]:[Evo?]],4,FALSE)="Devo",0))),5)</f>
        <v>0</v>
      </c>
      <c r="AF30" s="229">
        <f t="shared" si="0"/>
        <v>7</v>
      </c>
      <c r="AG30" s="229" t="str">
        <f>+_xlfn.IFNA(VLOOKUP(AB30,heroes[[Hero]:[Evo?]],4,FALSE),"No")</f>
        <v>Devo</v>
      </c>
      <c r="AH30" s="229">
        <f t="shared" si="1"/>
        <v>0</v>
      </c>
      <c r="AI30" s="229">
        <f t="shared" si="2"/>
        <v>0</v>
      </c>
    </row>
    <row r="31" spans="1:35" ht="15" customHeight="1" x14ac:dyDescent="0.25">
      <c r="A31" s="230"/>
      <c r="B31" s="283"/>
      <c r="C31" s="281"/>
      <c r="D31" s="235"/>
      <c r="E31" s="283"/>
      <c r="F31" s="281"/>
      <c r="G31" s="235"/>
      <c r="H31" s="283"/>
      <c r="I31" s="281"/>
      <c r="J31" s="235"/>
      <c r="K31" s="283"/>
      <c r="L31" s="281"/>
      <c r="M31" s="235"/>
      <c r="N31" s="283"/>
      <c r="O31" s="281"/>
      <c r="P31" s="233"/>
      <c r="AB31" s="229" t="s">
        <v>78</v>
      </c>
      <c r="AC31" s="229" t="s">
        <v>213</v>
      </c>
      <c r="AD31" s="229">
        <f>+R26</f>
        <v>2</v>
      </c>
      <c r="AE31" s="229">
        <f>+_xlfn.IFNA(IF(VLOOKUP(AB31,heroes[[Hero]:[Evo?]],4,FALSE)="No",4,IF(VLOOKUP(AB31,heroes[[Hero]:[Evo?]],4,FALSE)="Evo",3,IF(VLOOKUP(AB31,heroes[[Hero]:[Evo?]],4,FALSE)="Devo",0))),5)</f>
        <v>4</v>
      </c>
      <c r="AF31" s="229">
        <f t="shared" si="0"/>
        <v>-2</v>
      </c>
      <c r="AG31" s="229" t="str">
        <f>+_xlfn.IFNA(VLOOKUP(AB31,heroes[[Hero]:[Evo?]],4,FALSE),"No")</f>
        <v>No</v>
      </c>
      <c r="AH31" s="229">
        <f t="shared" si="1"/>
        <v>6000</v>
      </c>
      <c r="AI31" s="229">
        <f t="shared" si="2"/>
        <v>40000</v>
      </c>
    </row>
    <row r="32" spans="1:35" ht="15" customHeight="1" x14ac:dyDescent="0.25">
      <c r="A32" s="230"/>
      <c r="B32" s="284"/>
      <c r="C32" s="234">
        <f>+AF22</f>
        <v>-2</v>
      </c>
      <c r="D32" s="235"/>
      <c r="E32" s="284"/>
      <c r="F32" s="234">
        <f>+AF24</f>
        <v>-3</v>
      </c>
      <c r="G32" s="235"/>
      <c r="H32" s="284"/>
      <c r="I32" s="234">
        <f>+AF19</f>
        <v>-2</v>
      </c>
      <c r="J32" s="235"/>
      <c r="K32" s="284"/>
      <c r="L32" s="234">
        <f>+AF4</f>
        <v>-5</v>
      </c>
      <c r="M32" s="235"/>
      <c r="N32" s="284"/>
      <c r="O32" s="234">
        <f>+AF32</f>
        <v>-5</v>
      </c>
      <c r="P32" s="233"/>
      <c r="AB32" s="229" t="s">
        <v>209</v>
      </c>
      <c r="AC32" s="229" t="s">
        <v>213</v>
      </c>
      <c r="AD32" s="229">
        <f>+O30</f>
        <v>0</v>
      </c>
      <c r="AE32" s="229">
        <f>+_xlfn.IFNA(IF(VLOOKUP(AB32,heroes[[Hero]:[Evo?]],4,FALSE)="No",4,IF(VLOOKUP(AB32,heroes[[Hero]:[Evo?]],4,FALSE)="Evo",3,IF(VLOOKUP(AB32,heroes[[Hero]:[Evo?]],4,FALSE)="Devo",0))),5)</f>
        <v>5</v>
      </c>
      <c r="AF32" s="229">
        <f t="shared" si="0"/>
        <v>-5</v>
      </c>
      <c r="AG32" s="229" t="str">
        <f>+_xlfn.IFNA(VLOOKUP(AB32,heroes[[Hero]:[Evo?]],4,FALSE),"No")</f>
        <v>No</v>
      </c>
      <c r="AH32" s="229">
        <f t="shared" si="1"/>
        <v>6000</v>
      </c>
      <c r="AI32" s="229">
        <f t="shared" si="2"/>
        <v>100000</v>
      </c>
    </row>
    <row r="33" spans="1:35" x14ac:dyDescent="0.25">
      <c r="B33" s="232"/>
      <c r="C33" s="232"/>
      <c r="E33" s="232"/>
      <c r="F33" s="232"/>
      <c r="H33" s="232"/>
      <c r="I33" s="232"/>
      <c r="K33" s="232"/>
      <c r="L33" s="232"/>
      <c r="N33" s="232"/>
      <c r="O33" s="232"/>
      <c r="AB33" s="229" t="s">
        <v>79</v>
      </c>
      <c r="AC33" s="229" t="s">
        <v>213</v>
      </c>
      <c r="AD33" s="229">
        <f>+F18</f>
        <v>4</v>
      </c>
      <c r="AE33" s="229">
        <f>+_xlfn.IFNA(IF(VLOOKUP(AB33,heroes[[Hero]:[Evo?]],4,FALSE)="No",4,IF(VLOOKUP(AB33,heroes[[Hero]:[Evo?]],4,FALSE)="Evo",3,IF(VLOOKUP(AB33,heroes[[Hero]:[Evo?]],4,FALSE)="Devo",0))),5)</f>
        <v>3</v>
      </c>
      <c r="AF33" s="229">
        <f t="shared" si="0"/>
        <v>1</v>
      </c>
      <c r="AG33" s="229" t="str">
        <f>+_xlfn.IFNA(VLOOKUP(AB33,heroes[[Hero]:[Evo?]],4,FALSE),"No")</f>
        <v>Evo</v>
      </c>
      <c r="AH33" s="229">
        <f t="shared" si="1"/>
        <v>5000</v>
      </c>
      <c r="AI33" s="229">
        <f t="shared" si="2"/>
        <v>0</v>
      </c>
    </row>
    <row r="34" spans="1:35" ht="19.5" x14ac:dyDescent="0.25">
      <c r="B34" s="238" t="s">
        <v>212</v>
      </c>
      <c r="C34" s="238"/>
      <c r="D34" s="238"/>
      <c r="E34" s="238"/>
      <c r="F34" s="238"/>
      <c r="G34" s="238"/>
      <c r="H34" s="238"/>
      <c r="I34" s="238"/>
      <c r="J34" s="238"/>
      <c r="K34" s="238"/>
      <c r="L34" s="238"/>
      <c r="M34" s="238"/>
      <c r="N34" s="278">
        <f>+SUMIFS(AI4:AI49,AC4:AC49,"E")</f>
        <v>440000</v>
      </c>
      <c r="O34" s="279"/>
      <c r="P34" s="238"/>
      <c r="Q34" s="278">
        <f>+SUMIFS(AH4:AH49,AC4:AC49,"E")</f>
        <v>29000</v>
      </c>
      <c r="R34" s="279"/>
      <c r="AB34" s="229" t="s">
        <v>82</v>
      </c>
      <c r="AC34" s="229" t="s">
        <v>213</v>
      </c>
      <c r="AD34" s="229">
        <f>+L8</f>
        <v>5</v>
      </c>
      <c r="AE34" s="229">
        <f>+_xlfn.IFNA(IF(VLOOKUP(AB34,heroes[[Hero]:[Evo?]],4,FALSE)="No",4,IF(VLOOKUP(AB34,heroes[[Hero]:[Evo?]],4,FALSE)="Evo",3,IF(VLOOKUP(AB34,heroes[[Hero]:[Evo?]],4,FALSE)="Devo",0))),5)</f>
        <v>4</v>
      </c>
      <c r="AF34" s="229">
        <f t="shared" si="0"/>
        <v>1</v>
      </c>
      <c r="AG34" s="229" t="str">
        <f>+_xlfn.IFNA(VLOOKUP(AB34,heroes[[Hero]:[Evo?]],4,FALSE),"No")</f>
        <v>No</v>
      </c>
      <c r="AH34" s="229">
        <f t="shared" si="1"/>
        <v>6000</v>
      </c>
      <c r="AI34" s="229">
        <f t="shared" si="2"/>
        <v>0</v>
      </c>
    </row>
    <row r="35" spans="1:35" x14ac:dyDescent="0.25">
      <c r="B35" s="12"/>
      <c r="C35" s="12"/>
      <c r="D35" s="232"/>
      <c r="E35" s="12"/>
      <c r="F35" s="12"/>
      <c r="G35" s="232"/>
      <c r="H35" s="12"/>
      <c r="I35" s="12"/>
      <c r="J35" s="232"/>
      <c r="K35" s="232"/>
      <c r="L35" s="232"/>
      <c r="M35" s="232"/>
      <c r="N35" s="232"/>
      <c r="O35" s="232"/>
      <c r="P35" s="232"/>
      <c r="Q35" s="232"/>
      <c r="R35" s="232"/>
      <c r="AB35" s="229" t="s">
        <v>83</v>
      </c>
      <c r="AC35" s="229" t="s">
        <v>213</v>
      </c>
      <c r="AD35" s="229">
        <f>+C22</f>
        <v>1</v>
      </c>
      <c r="AE35" s="229">
        <f>+_xlfn.IFNA(IF(VLOOKUP(AB35,heroes[[Hero]:[Evo?]],4,FALSE)="No",4,IF(VLOOKUP(AB35,heroes[[Hero]:[Evo?]],4,FALSE)="Evo",3,IF(VLOOKUP(AB35,heroes[[Hero]:[Evo?]],4,FALSE)="Devo",0))),5)</f>
        <v>3</v>
      </c>
      <c r="AF35" s="229">
        <f t="shared" si="0"/>
        <v>-2</v>
      </c>
      <c r="AG35" s="229" t="str">
        <f>+_xlfn.IFNA(VLOOKUP(AB35,heroes[[Hero]:[Evo?]],4,FALSE),"No")</f>
        <v>Evo</v>
      </c>
      <c r="AH35" s="229">
        <f t="shared" si="1"/>
        <v>5000</v>
      </c>
      <c r="AI35" s="229">
        <f t="shared" si="2"/>
        <v>40000</v>
      </c>
    </row>
    <row r="36" spans="1:35" x14ac:dyDescent="0.25">
      <c r="A36"/>
      <c r="B36" s="282"/>
      <c r="C36" s="280">
        <v>0</v>
      </c>
      <c r="D36"/>
      <c r="E36" s="282"/>
      <c r="F36" s="280">
        <v>0</v>
      </c>
      <c r="G36"/>
      <c r="H36" s="282"/>
      <c r="I36" s="280">
        <v>0</v>
      </c>
      <c r="J36" s="233"/>
      <c r="AB36" s="229" t="s">
        <v>84</v>
      </c>
      <c r="AC36" s="229" t="s">
        <v>213</v>
      </c>
      <c r="AD36" s="229">
        <f>+F14</f>
        <v>6</v>
      </c>
      <c r="AE36" s="229">
        <f>+_xlfn.IFNA(IF(VLOOKUP(AB36,heroes[[Hero]:[Evo?]],4,FALSE)="No",4,IF(VLOOKUP(AB36,heroes[[Hero]:[Evo?]],4,FALSE)="Evo",3,IF(VLOOKUP(AB36,heroes[[Hero]:[Evo?]],4,FALSE)="Devo",0))),5)</f>
        <v>0</v>
      </c>
      <c r="AF36" s="229">
        <f t="shared" si="0"/>
        <v>6</v>
      </c>
      <c r="AG36" s="229" t="str">
        <f>+_xlfn.IFNA(VLOOKUP(AB36,heroes[[Hero]:[Evo?]],4,FALSE),"No")</f>
        <v>Devo</v>
      </c>
      <c r="AH36" s="229">
        <f t="shared" si="1"/>
        <v>0</v>
      </c>
      <c r="AI36" s="229">
        <f t="shared" si="2"/>
        <v>0</v>
      </c>
    </row>
    <row r="37" spans="1:35" x14ac:dyDescent="0.25">
      <c r="A37" s="230"/>
      <c r="B37" s="283"/>
      <c r="C37" s="281"/>
      <c r="D37" s="235"/>
      <c r="E37" s="283"/>
      <c r="F37" s="281"/>
      <c r="G37" s="235"/>
      <c r="H37" s="283"/>
      <c r="I37" s="281"/>
      <c r="J37" s="233"/>
      <c r="AB37" s="229" t="s">
        <v>86</v>
      </c>
      <c r="AC37" s="229" t="s">
        <v>214</v>
      </c>
      <c r="AD37" s="229">
        <f>+I4</f>
        <v>4</v>
      </c>
      <c r="AE37" s="229">
        <f>+_xlfn.IFNA(IF(VLOOKUP(AB37,heroes[[Hero]:[Evo?]],4,FALSE)="No",4,IF(VLOOKUP(AB37,heroes[[Hero]:[Evo?]],4,FALSE)="Evo",3,IF(VLOOKUP(AB37,heroes[[Hero]:[Evo?]],4,FALSE)="Devo",0))),5)</f>
        <v>4</v>
      </c>
      <c r="AF37" s="229">
        <f t="shared" si="0"/>
        <v>0</v>
      </c>
      <c r="AG37" s="229" t="str">
        <f>+_xlfn.IFNA(VLOOKUP(AB37,heroes[[Hero]:[Evo?]],4,FALSE),"No")</f>
        <v>No</v>
      </c>
      <c r="AH37" s="229">
        <f t="shared" si="1"/>
        <v>6000</v>
      </c>
      <c r="AI37" s="229">
        <f t="shared" si="2"/>
        <v>0</v>
      </c>
    </row>
    <row r="38" spans="1:35" x14ac:dyDescent="0.25">
      <c r="A38" s="230"/>
      <c r="B38" s="284"/>
      <c r="C38" s="234">
        <f>+AF44</f>
        <v>-3</v>
      </c>
      <c r="D38" s="235"/>
      <c r="E38" s="284"/>
      <c r="F38" s="234">
        <f>+AF45</f>
        <v>0</v>
      </c>
      <c r="G38" s="235"/>
      <c r="H38" s="284"/>
      <c r="I38" s="234">
        <f>+AF46</f>
        <v>-5</v>
      </c>
      <c r="J38" s="233"/>
      <c r="AB38" s="229" t="s">
        <v>87</v>
      </c>
      <c r="AC38" s="229" t="s">
        <v>214</v>
      </c>
      <c r="AD38" s="229">
        <f>+R4</f>
        <v>4</v>
      </c>
      <c r="AE38" s="229">
        <f>+_xlfn.IFNA(IF(VLOOKUP(AB38,heroes[[Hero]:[Evo?]],4,FALSE)="No",4,IF(VLOOKUP(AB38,heroes[[Hero]:[Evo?]],4,FALSE)="Evo",3,IF(VLOOKUP(AB38,heroes[[Hero]:[Evo?]],4,FALSE)="Devo",0))),5)</f>
        <v>3</v>
      </c>
      <c r="AF38" s="229">
        <f t="shared" si="0"/>
        <v>1</v>
      </c>
      <c r="AG38" s="229" t="str">
        <f>+_xlfn.IFNA(VLOOKUP(AB38,heroes[[Hero]:[Evo?]],4,FALSE),"No")</f>
        <v>Evo</v>
      </c>
      <c r="AH38" s="229">
        <f t="shared" si="1"/>
        <v>5000</v>
      </c>
      <c r="AI38" s="229">
        <f t="shared" si="2"/>
        <v>0</v>
      </c>
    </row>
    <row r="39" spans="1:35" x14ac:dyDescent="0.25">
      <c r="B39" s="12"/>
      <c r="C39" s="12"/>
      <c r="E39" s="12"/>
      <c r="F39" s="12"/>
      <c r="H39" s="12"/>
      <c r="I39" s="12"/>
      <c r="AB39" s="229" t="s">
        <v>88</v>
      </c>
      <c r="AC39" s="229" t="s">
        <v>213</v>
      </c>
      <c r="AD39" s="229">
        <f>+O18</f>
        <v>11</v>
      </c>
      <c r="AE39" s="229">
        <f>+_xlfn.IFNA(IF(VLOOKUP(AB39,heroes[[Hero]:[Evo?]],4,FALSE)="No",4,IF(VLOOKUP(AB39,heroes[[Hero]:[Evo?]],4,FALSE)="Evo",3,IF(VLOOKUP(AB39,heroes[[Hero]:[Evo?]],4,FALSE)="Devo",0))),5)</f>
        <v>3</v>
      </c>
      <c r="AF39" s="229">
        <f t="shared" si="0"/>
        <v>8</v>
      </c>
      <c r="AG39" s="229" t="str">
        <f>+_xlfn.IFNA(VLOOKUP(AB39,heroes[[Hero]:[Evo?]],4,FALSE),"No")</f>
        <v>Evo</v>
      </c>
      <c r="AH39" s="229">
        <f t="shared" si="1"/>
        <v>5000</v>
      </c>
      <c r="AI39" s="229">
        <f t="shared" si="2"/>
        <v>0</v>
      </c>
    </row>
    <row r="40" spans="1:35" x14ac:dyDescent="0.25">
      <c r="A40"/>
      <c r="B40" s="282"/>
      <c r="C40" s="280">
        <v>0</v>
      </c>
      <c r="D40"/>
      <c r="E40" s="282"/>
      <c r="F40" s="280">
        <v>0</v>
      </c>
      <c r="G40"/>
      <c r="H40" s="282"/>
      <c r="I40" s="280">
        <v>0</v>
      </c>
      <c r="J40" s="233"/>
      <c r="AB40" s="229" t="s">
        <v>90</v>
      </c>
      <c r="AC40" s="229" t="s">
        <v>213</v>
      </c>
      <c r="AD40" s="229">
        <f>+O26</f>
        <v>1</v>
      </c>
      <c r="AE40" s="229">
        <f>+_xlfn.IFNA(IF(VLOOKUP(AB40,heroes[[Hero]:[Evo?]],4,FALSE)="No",4,IF(VLOOKUP(AB40,heroes[[Hero]:[Evo?]],4,FALSE)="Evo",3,IF(VLOOKUP(AB40,heroes[[Hero]:[Evo?]],4,FALSE)="Devo",0))),5)</f>
        <v>4</v>
      </c>
      <c r="AF40" s="229">
        <f t="shared" si="0"/>
        <v>-3</v>
      </c>
      <c r="AG40" s="229" t="str">
        <f>+_xlfn.IFNA(VLOOKUP(AB40,heroes[[Hero]:[Evo?]],4,FALSE),"No")</f>
        <v>No</v>
      </c>
      <c r="AH40" s="229">
        <f t="shared" si="1"/>
        <v>6000</v>
      </c>
      <c r="AI40" s="229">
        <f t="shared" si="2"/>
        <v>60000</v>
      </c>
    </row>
    <row r="41" spans="1:35" x14ac:dyDescent="0.25">
      <c r="A41" s="230"/>
      <c r="B41" s="283"/>
      <c r="C41" s="281"/>
      <c r="D41" s="235"/>
      <c r="E41" s="283"/>
      <c r="F41" s="281"/>
      <c r="G41" s="235"/>
      <c r="H41" s="283"/>
      <c r="I41" s="281"/>
      <c r="J41" s="233"/>
      <c r="AB41" s="229" t="s">
        <v>91</v>
      </c>
      <c r="AC41" s="229" t="s">
        <v>213</v>
      </c>
      <c r="AD41" s="229">
        <f>+O22</f>
        <v>1</v>
      </c>
      <c r="AE41" s="229">
        <f>+_xlfn.IFNA(IF(VLOOKUP(AB41,heroes[[Hero]:[Evo?]],4,FALSE)="No",4,IF(VLOOKUP(AB41,heroes[[Hero]:[Evo?]],4,FALSE)="Evo",3,IF(VLOOKUP(AB41,heroes[[Hero]:[Evo?]],4,FALSE)="Devo",0))),5)</f>
        <v>3</v>
      </c>
      <c r="AF41" s="229">
        <f t="shared" si="0"/>
        <v>-2</v>
      </c>
      <c r="AG41" s="229" t="str">
        <f>+_xlfn.IFNA(VLOOKUP(AB41,heroes[[Hero]:[Evo?]],4,FALSE),"No")</f>
        <v>Evo</v>
      </c>
      <c r="AH41" s="229">
        <f t="shared" si="1"/>
        <v>5000</v>
      </c>
      <c r="AI41" s="229">
        <f t="shared" si="2"/>
        <v>40000</v>
      </c>
    </row>
    <row r="42" spans="1:35" x14ac:dyDescent="0.25">
      <c r="A42" s="230"/>
      <c r="B42" s="284"/>
      <c r="C42" s="234">
        <f>+AF47</f>
        <v>-4</v>
      </c>
      <c r="D42" s="235"/>
      <c r="E42" s="284"/>
      <c r="F42" s="234">
        <f>+AF48</f>
        <v>-5</v>
      </c>
      <c r="G42" s="235"/>
      <c r="H42" s="284"/>
      <c r="I42" s="234">
        <f>+AF49</f>
        <v>-5</v>
      </c>
      <c r="J42" s="233"/>
      <c r="AB42" s="229" t="s">
        <v>92</v>
      </c>
      <c r="AC42" s="229" t="s">
        <v>213</v>
      </c>
      <c r="AD42" s="229">
        <f>+O14</f>
        <v>5</v>
      </c>
      <c r="AE42" s="229">
        <f>+_xlfn.IFNA(IF(VLOOKUP(AB42,heroes[[Hero]:[Evo?]],4,FALSE)="No",4,IF(VLOOKUP(AB42,heroes[[Hero]:[Evo?]],4,FALSE)="Evo",3,IF(VLOOKUP(AB42,heroes[[Hero]:[Evo?]],4,FALSE)="Devo",0))),5)</f>
        <v>3</v>
      </c>
      <c r="AF42" s="229">
        <f t="shared" si="0"/>
        <v>2</v>
      </c>
      <c r="AG42" s="229" t="str">
        <f>+_xlfn.IFNA(VLOOKUP(AB42,heroes[[Hero]:[Evo?]],4,FALSE),"No")</f>
        <v>Evo</v>
      </c>
      <c r="AH42" s="229">
        <f t="shared" si="1"/>
        <v>5000</v>
      </c>
      <c r="AI42" s="229">
        <f t="shared" si="2"/>
        <v>0</v>
      </c>
    </row>
    <row r="43" spans="1:35" x14ac:dyDescent="0.25">
      <c r="AB43" s="229" t="s">
        <v>93</v>
      </c>
      <c r="AC43" s="229" t="s">
        <v>213</v>
      </c>
      <c r="AD43" s="229">
        <f>+L18</f>
        <v>2</v>
      </c>
      <c r="AE43" s="229">
        <f>+_xlfn.IFNA(IF(VLOOKUP(AB43,heroes[[Hero]:[Evo?]],4,FALSE)="No",4,IF(VLOOKUP(AB43,heroes[[Hero]:[Evo?]],4,FALSE)="Evo",3,IF(VLOOKUP(AB43,heroes[[Hero]:[Evo?]],4,FALSE)="Devo",0))),5)</f>
        <v>0</v>
      </c>
      <c r="AF43" s="229">
        <f t="shared" si="0"/>
        <v>2</v>
      </c>
      <c r="AG43" s="229" t="str">
        <f>+_xlfn.IFNA(VLOOKUP(AB43,heroes[[Hero]:[Evo?]],4,FALSE),"No")</f>
        <v>Devo</v>
      </c>
      <c r="AH43" s="229">
        <f t="shared" si="1"/>
        <v>0</v>
      </c>
      <c r="AI43" s="229">
        <f t="shared" si="2"/>
        <v>0</v>
      </c>
    </row>
    <row r="44" spans="1:35" ht="19.5" x14ac:dyDescent="0.25">
      <c r="B44" s="238" t="s">
        <v>215</v>
      </c>
      <c r="C44" s="238"/>
      <c r="D44" s="238"/>
      <c r="E44" s="238"/>
      <c r="F44" s="238"/>
      <c r="G44" s="238"/>
      <c r="H44" s="238"/>
      <c r="I44" s="238"/>
      <c r="J44" s="238"/>
      <c r="K44" s="238"/>
      <c r="L44" s="238"/>
      <c r="M44" s="238"/>
      <c r="N44" s="278">
        <f>+SUM(AI4:AI49)</f>
        <v>1100000</v>
      </c>
      <c r="O44" s="279"/>
      <c r="P44" s="238"/>
      <c r="Q44" s="278">
        <f>+SUM(AH4:AH49)</f>
        <v>212000</v>
      </c>
      <c r="R44" s="279"/>
      <c r="AB44" s="229" t="s">
        <v>85</v>
      </c>
      <c r="AC44" s="229" t="s">
        <v>182</v>
      </c>
      <c r="AD44" s="229">
        <f>+C36</f>
        <v>0</v>
      </c>
      <c r="AE44" s="229">
        <f>+_xlfn.IFNA(IF(VLOOKUP(AB44,heroes[[Hero]:[Evo?]],4,FALSE)="No",4,IF(VLOOKUP(AB44,heroes[[Hero]:[Evo?]],4,FALSE)="Evo",3,IF(VLOOKUP(AB44,heroes[[Hero]:[Evo?]],4,FALSE)="Devo",0))),5)</f>
        <v>3</v>
      </c>
      <c r="AF44" s="229">
        <f t="shared" si="0"/>
        <v>-3</v>
      </c>
      <c r="AG44" s="229" t="str">
        <f>+_xlfn.IFNA(VLOOKUP(AB44,heroes[[Hero]:[Evo?]],4,FALSE),"No")</f>
        <v>Evo</v>
      </c>
      <c r="AH44" s="229">
        <f t="shared" si="1"/>
        <v>5000</v>
      </c>
      <c r="AI44" s="229">
        <f t="shared" si="2"/>
        <v>60000</v>
      </c>
    </row>
    <row r="45" spans="1:35" x14ac:dyDescent="0.25">
      <c r="B45" s="232"/>
      <c r="C45" s="232"/>
      <c r="D45" s="232"/>
      <c r="E45" s="232"/>
      <c r="F45" s="232"/>
      <c r="G45" s="232"/>
      <c r="H45" s="232"/>
      <c r="I45" s="232"/>
      <c r="J45" s="232"/>
      <c r="K45" s="232"/>
      <c r="L45" s="232"/>
      <c r="M45" s="232"/>
      <c r="N45" s="232"/>
      <c r="O45" s="232"/>
      <c r="P45" s="232"/>
      <c r="Q45" s="232"/>
      <c r="R45" s="232"/>
      <c r="AB45" s="229" t="s">
        <v>69</v>
      </c>
      <c r="AC45" s="229" t="s">
        <v>182</v>
      </c>
      <c r="AD45" s="229">
        <f>+F36</f>
        <v>0</v>
      </c>
      <c r="AE45" s="229">
        <f>+_xlfn.IFNA(IF(VLOOKUP(AB45,heroes[[Hero]:[Evo?]],4,FALSE)="No",4,IF(VLOOKUP(AB45,heroes[[Hero]:[Evo?]],4,FALSE)="Evo",3,IF(VLOOKUP(AB45,heroes[[Hero]:[Evo?]],4,FALSE)="Devo",0))),5)</f>
        <v>0</v>
      </c>
      <c r="AF45" s="229">
        <f t="shared" si="0"/>
        <v>0</v>
      </c>
      <c r="AG45" s="229" t="str">
        <f>+_xlfn.IFNA(VLOOKUP(AB45,heroes[[Hero]:[Evo?]],4,FALSE),"No")</f>
        <v>Devo</v>
      </c>
      <c r="AH45" s="229">
        <f t="shared" si="1"/>
        <v>0</v>
      </c>
      <c r="AI45" s="229">
        <f t="shared" si="2"/>
        <v>0</v>
      </c>
    </row>
    <row r="46" spans="1:35" x14ac:dyDescent="0.25">
      <c r="AB46" s="229" t="s">
        <v>39</v>
      </c>
      <c r="AC46" s="229" t="s">
        <v>182</v>
      </c>
      <c r="AD46" s="229">
        <f>+I36</f>
        <v>0</v>
      </c>
      <c r="AE46" s="229">
        <f>+_xlfn.IFNA(IF(VLOOKUP(AB46,heroes[[Hero]:[Evo?]],4,FALSE)="No",4,IF(VLOOKUP(AB46,heroes[[Hero]:[Evo?]],4,FALSE)="Evo",3,IF(VLOOKUP(AB46,heroes[[Hero]:[Evo?]],4,FALSE)="Devo",0))),5)</f>
        <v>5</v>
      </c>
      <c r="AF46" s="229">
        <f t="shared" si="0"/>
        <v>-5</v>
      </c>
      <c r="AG46" s="229" t="str">
        <f>+_xlfn.IFNA(VLOOKUP(AB46,heroes[[Hero]:[Evo?]],4,FALSE),"No")</f>
        <v>No</v>
      </c>
      <c r="AH46" s="229">
        <f t="shared" si="1"/>
        <v>6000</v>
      </c>
      <c r="AI46" s="229">
        <f t="shared" si="2"/>
        <v>100000</v>
      </c>
    </row>
    <row r="47" spans="1:35" x14ac:dyDescent="0.25">
      <c r="AB47" s="229" t="s">
        <v>70</v>
      </c>
      <c r="AC47" s="229" t="s">
        <v>182</v>
      </c>
      <c r="AD47" s="229">
        <f>+C40</f>
        <v>0</v>
      </c>
      <c r="AE47" s="229">
        <f>+_xlfn.IFNA(IF(VLOOKUP(AB47,heroes[[Hero]:[Evo?]],4,FALSE)="No",4,IF(VLOOKUP(AB47,heroes[[Hero]:[Evo?]],4,FALSE)="Evo",3,IF(VLOOKUP(AB47,heroes[[Hero]:[Evo?]],4,FALSE)="Devo",0))),5)</f>
        <v>4</v>
      </c>
      <c r="AF47" s="229">
        <f t="shared" si="0"/>
        <v>-4</v>
      </c>
      <c r="AG47" s="229" t="str">
        <f>+_xlfn.IFNA(VLOOKUP(AB47,heroes[[Hero]:[Evo?]],4,FALSE),"No")</f>
        <v>No</v>
      </c>
      <c r="AH47" s="229">
        <f t="shared" si="1"/>
        <v>6000</v>
      </c>
      <c r="AI47" s="229">
        <f t="shared" si="2"/>
        <v>80000</v>
      </c>
    </row>
    <row r="48" spans="1:35" x14ac:dyDescent="0.25">
      <c r="AB48" s="229" t="s">
        <v>17</v>
      </c>
      <c r="AC48" s="229" t="s">
        <v>182</v>
      </c>
      <c r="AD48" s="229">
        <f>+F40</f>
        <v>0</v>
      </c>
      <c r="AE48" s="229">
        <f>+_xlfn.IFNA(IF(VLOOKUP(AB48,heroes[[Hero]:[Evo?]],4,FALSE)="No",4,IF(VLOOKUP(AB48,heroes[[Hero]:[Evo?]],4,FALSE)="Evo",3,IF(VLOOKUP(AB48,heroes[[Hero]:[Evo?]],4,FALSE)="Devo",0))),5)</f>
        <v>5</v>
      </c>
      <c r="AF48" s="229">
        <f t="shared" si="0"/>
        <v>-5</v>
      </c>
      <c r="AG48" s="229" t="str">
        <f>+_xlfn.IFNA(VLOOKUP(AB48,heroes[[Hero]:[Evo?]],4,FALSE),"No")</f>
        <v>No</v>
      </c>
      <c r="AH48" s="229">
        <f t="shared" si="1"/>
        <v>6000</v>
      </c>
      <c r="AI48" s="229">
        <f t="shared" si="2"/>
        <v>100000</v>
      </c>
    </row>
    <row r="49" spans="28:35" x14ac:dyDescent="0.25">
      <c r="AB49" s="229" t="s">
        <v>37</v>
      </c>
      <c r="AC49" s="229" t="s">
        <v>182</v>
      </c>
      <c r="AD49" s="229">
        <f>+I40</f>
        <v>0</v>
      </c>
      <c r="AE49" s="229">
        <f>+_xlfn.IFNA(IF(VLOOKUP(AB49,heroes[[Hero]:[Evo?]],4,FALSE)="No",4,IF(VLOOKUP(AB49,heroes[[Hero]:[Evo?]],4,FALSE)="Evo",3,IF(VLOOKUP(AB49,heroes[[Hero]:[Evo?]],4,FALSE)="Devo",0))),5)</f>
        <v>5</v>
      </c>
      <c r="AF49" s="229">
        <f t="shared" si="0"/>
        <v>-5</v>
      </c>
      <c r="AG49" s="229" t="str">
        <f>+_xlfn.IFNA(VLOOKUP(AB49,heroes[[Hero]:[Evo?]],4,FALSE),"No")</f>
        <v>No</v>
      </c>
      <c r="AH49" s="229">
        <f t="shared" si="1"/>
        <v>6000</v>
      </c>
      <c r="AI49" s="229">
        <f t="shared" si="2"/>
        <v>100000</v>
      </c>
    </row>
  </sheetData>
  <mergeCells count="100">
    <mergeCell ref="B4:B6"/>
    <mergeCell ref="E4:E6"/>
    <mergeCell ref="H4:H6"/>
    <mergeCell ref="B8:B10"/>
    <mergeCell ref="B14:B16"/>
    <mergeCell ref="C8:C9"/>
    <mergeCell ref="C14:C15"/>
    <mergeCell ref="F4:F5"/>
    <mergeCell ref="C4:C5"/>
    <mergeCell ref="Q18:Q20"/>
    <mergeCell ref="H14:H16"/>
    <mergeCell ref="O8:O9"/>
    <mergeCell ref="L8:L9"/>
    <mergeCell ref="I8:I9"/>
    <mergeCell ref="I18:I19"/>
    <mergeCell ref="Q4:Q6"/>
    <mergeCell ref="K8:K10"/>
    <mergeCell ref="N8:N10"/>
    <mergeCell ref="Q14:Q16"/>
    <mergeCell ref="L4:L5"/>
    <mergeCell ref="K4:K6"/>
    <mergeCell ref="N4:N6"/>
    <mergeCell ref="K14:K16"/>
    <mergeCell ref="N14:N16"/>
    <mergeCell ref="B22:B24"/>
    <mergeCell ref="B26:B28"/>
    <mergeCell ref="E22:E24"/>
    <mergeCell ref="B18:B20"/>
    <mergeCell ref="E30:E32"/>
    <mergeCell ref="F18:F19"/>
    <mergeCell ref="C18:C19"/>
    <mergeCell ref="H18:H20"/>
    <mergeCell ref="K18:K20"/>
    <mergeCell ref="N18:N20"/>
    <mergeCell ref="E18:E20"/>
    <mergeCell ref="K30:K32"/>
    <mergeCell ref="N30:N32"/>
    <mergeCell ref="B40:B42"/>
    <mergeCell ref="Q22:Q24"/>
    <mergeCell ref="E26:E28"/>
    <mergeCell ref="H26:H28"/>
    <mergeCell ref="K26:K28"/>
    <mergeCell ref="N26:N28"/>
    <mergeCell ref="H22:H24"/>
    <mergeCell ref="K22:K24"/>
    <mergeCell ref="N22:N24"/>
    <mergeCell ref="Q26:Q28"/>
    <mergeCell ref="Q34:R34"/>
    <mergeCell ref="F30:F31"/>
    <mergeCell ref="I30:I31"/>
    <mergeCell ref="B30:B32"/>
    <mergeCell ref="I4:I5"/>
    <mergeCell ref="E8:E10"/>
    <mergeCell ref="H8:H10"/>
    <mergeCell ref="E14:E16"/>
    <mergeCell ref="F8:F9"/>
    <mergeCell ref="F14:F15"/>
    <mergeCell ref="I14:I15"/>
    <mergeCell ref="Q2:R2"/>
    <mergeCell ref="Q12:R12"/>
    <mergeCell ref="R26:R27"/>
    <mergeCell ref="O26:O27"/>
    <mergeCell ref="L26:L27"/>
    <mergeCell ref="L22:L23"/>
    <mergeCell ref="O22:O23"/>
    <mergeCell ref="R22:R23"/>
    <mergeCell ref="L14:L15"/>
    <mergeCell ref="O14:O15"/>
    <mergeCell ref="R14:R15"/>
    <mergeCell ref="R18:R19"/>
    <mergeCell ref="O18:O19"/>
    <mergeCell ref="L18:L19"/>
    <mergeCell ref="O4:O5"/>
    <mergeCell ref="R4:R5"/>
    <mergeCell ref="L30:L31"/>
    <mergeCell ref="O30:O31"/>
    <mergeCell ref="N2:O2"/>
    <mergeCell ref="N12:O12"/>
    <mergeCell ref="N34:O34"/>
    <mergeCell ref="B36:B38"/>
    <mergeCell ref="C36:C37"/>
    <mergeCell ref="E36:E38"/>
    <mergeCell ref="F36:F37"/>
    <mergeCell ref="H36:H38"/>
    <mergeCell ref="I36:I37"/>
    <mergeCell ref="I26:I27"/>
    <mergeCell ref="F26:F27"/>
    <mergeCell ref="C26:C27"/>
    <mergeCell ref="C22:C23"/>
    <mergeCell ref="F22:F23"/>
    <mergeCell ref="I22:I23"/>
    <mergeCell ref="H30:H32"/>
    <mergeCell ref="C30:C31"/>
    <mergeCell ref="N44:O44"/>
    <mergeCell ref="Q44:R44"/>
    <mergeCell ref="C40:C41"/>
    <mergeCell ref="E40:E42"/>
    <mergeCell ref="F40:F41"/>
    <mergeCell ref="H40:H42"/>
    <mergeCell ref="I40:I4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79"/>
  <sheetViews>
    <sheetView tabSelected="1" workbookViewId="0">
      <selection activeCell="S39" sqref="S39"/>
    </sheetView>
  </sheetViews>
  <sheetFormatPr defaultRowHeight="14.25" x14ac:dyDescent="0.2"/>
  <cols>
    <col min="1" max="1" width="2.7109375" style="29" customWidth="1"/>
    <col min="2" max="2" width="12" style="29" customWidth="1"/>
    <col min="3" max="3" width="15.140625" style="29" hidden="1" customWidth="1"/>
    <col min="4" max="4" width="3.7109375" style="29" customWidth="1"/>
    <col min="5" max="9" width="5.28515625" style="29" customWidth="1"/>
    <col min="10" max="10" width="6.140625" style="29" bestFit="1" customWidth="1"/>
    <col min="11" max="11" width="5.42578125" style="29" bestFit="1" customWidth="1"/>
    <col min="12" max="12" width="6.7109375" style="29" hidden="1" customWidth="1"/>
    <col min="13" max="13" width="6.7109375" style="29" customWidth="1"/>
    <col min="14" max="14" width="9.140625" style="28"/>
    <col min="15" max="15" width="2.7109375" style="216" customWidth="1"/>
    <col min="16" max="16" width="12.42578125" style="29" customWidth="1"/>
    <col min="17" max="17" width="3.7109375" style="29" hidden="1" customWidth="1"/>
    <col min="18" max="22" width="5.28515625" style="29" customWidth="1"/>
    <col min="23" max="23" width="6.140625" style="29" bestFit="1" customWidth="1"/>
    <col min="24" max="24" width="5.42578125" style="29" bestFit="1" customWidth="1"/>
    <col min="25" max="25" width="6.7109375" style="29" customWidth="1"/>
    <col min="26" max="26" width="6.7109375" style="29" hidden="1" customWidth="1"/>
    <col min="27" max="27" width="9.140625" style="28"/>
    <col min="28" max="28" width="9.140625" style="29"/>
    <col min="29" max="29" width="2.7109375" style="29" customWidth="1"/>
    <col min="30" max="32" width="9.140625" style="29"/>
    <col min="33" max="33" width="11.5703125" style="29" customWidth="1"/>
    <col min="34" max="34" width="11.28515625" style="29" customWidth="1"/>
    <col min="35" max="16384" width="9.140625" style="29"/>
  </cols>
  <sheetData>
    <row r="1" spans="2:36" x14ac:dyDescent="0.2">
      <c r="N1" s="216"/>
    </row>
    <row r="2" spans="2:36" x14ac:dyDescent="0.2">
      <c r="B2" s="26"/>
      <c r="C2" s="26"/>
      <c r="D2" s="26"/>
      <c r="E2" s="26"/>
      <c r="F2" s="26"/>
      <c r="G2" s="26"/>
      <c r="H2" s="26"/>
      <c r="I2" s="26"/>
      <c r="J2" s="26"/>
      <c r="K2" s="27"/>
      <c r="M2" s="287" t="s">
        <v>116</v>
      </c>
      <c r="N2" s="288"/>
      <c r="P2" s="26"/>
      <c r="Q2" s="26"/>
      <c r="R2" s="26"/>
      <c r="S2" s="26"/>
      <c r="T2" s="26"/>
      <c r="U2" s="26"/>
      <c r="V2" s="26"/>
      <c r="W2" s="26"/>
      <c r="X2" s="27"/>
      <c r="AA2" s="287" t="s">
        <v>116</v>
      </c>
      <c r="AB2" s="293"/>
    </row>
    <row r="3" spans="2:36" ht="15" thickBot="1" x14ac:dyDescent="0.25">
      <c r="B3" s="148" t="s">
        <v>95</v>
      </c>
      <c r="C3" s="33" t="s">
        <v>110</v>
      </c>
      <c r="D3" s="34" t="s">
        <v>111</v>
      </c>
      <c r="E3" s="35" t="s">
        <v>96</v>
      </c>
      <c r="F3" s="36" t="s">
        <v>97</v>
      </c>
      <c r="G3" s="36" t="s">
        <v>98</v>
      </c>
      <c r="H3" s="36" t="s">
        <v>99</v>
      </c>
      <c r="I3" s="36" t="s">
        <v>100</v>
      </c>
      <c r="J3" s="37" t="s">
        <v>117</v>
      </c>
      <c r="K3" s="37" t="s">
        <v>118</v>
      </c>
      <c r="L3" s="37" t="s">
        <v>203</v>
      </c>
      <c r="M3" s="37" t="s">
        <v>119</v>
      </c>
      <c r="N3" s="37" t="s">
        <v>120</v>
      </c>
      <c r="O3" s="37"/>
      <c r="P3" s="148" t="s">
        <v>95</v>
      </c>
      <c r="Q3" s="39" t="s">
        <v>110</v>
      </c>
      <c r="R3" s="40" t="s">
        <v>111</v>
      </c>
      <c r="S3" s="41" t="s">
        <v>96</v>
      </c>
      <c r="T3" s="41" t="s">
        <v>97</v>
      </c>
      <c r="U3" s="41" t="s">
        <v>98</v>
      </c>
      <c r="V3" s="41" t="s">
        <v>99</v>
      </c>
      <c r="W3" s="41" t="s">
        <v>100</v>
      </c>
      <c r="X3" s="42" t="s">
        <v>117</v>
      </c>
      <c r="Y3" s="42" t="s">
        <v>118</v>
      </c>
      <c r="Z3" s="42" t="s">
        <v>203</v>
      </c>
      <c r="AA3" s="42" t="s">
        <v>119</v>
      </c>
      <c r="AB3" s="42" t="s">
        <v>120</v>
      </c>
      <c r="AC3" s="28"/>
      <c r="AI3" s="30" t="s">
        <v>121</v>
      </c>
      <c r="AJ3" s="30" t="s">
        <v>122</v>
      </c>
    </row>
    <row r="4" spans="2:36" s="162" customFormat="1" ht="15.75" thickTop="1" thickBot="1" x14ac:dyDescent="0.25">
      <c r="B4" s="275"/>
      <c r="C4" s="162" t="s">
        <v>38</v>
      </c>
      <c r="D4" s="163" t="s">
        <v>112</v>
      </c>
      <c r="E4" s="164">
        <f t="array" ref="E4">+INDEX(crests.sets[1],MATCH(Table710[[#This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31</v>
      </c>
      <c r="F4" s="165">
        <f t="array" ref="F4">+INDEX(crests.sets[2],MATCH(Table710[[#This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4" s="165">
        <f t="array" ref="G4">+INDEX(crests.sets[3],MATCH(Table710[[#This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4" s="165">
        <f t="array" ref="H4">+INDEX(crests.sets[4],MATCH(Table710[[#This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4" s="166">
        <f t="array" ref="I4">+INDEX(crests.sets[5],MATCH(Table710[[#This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4" s="167">
        <f>+Table710[[#This Row],[1]]+4*Table710[[#This Row],[2]]+16*Table710[[#This Row],[3]]+64*Table710[[#This Row],[4]]+256*Table710[[#This Row],[5]]-IF($E$41="No",VLOOKUP(Table710[[#This Row],[Crest.Name]],$B$44:$J$79,9,FALSE))</f>
        <v>67</v>
      </c>
      <c r="K4" s="168">
        <f>+IF(Table710[[#This Row],[Total]]&lt;4,1,IF(Table710[[#This Row],[Total]]&lt;16,2,IF(Table710[[#This Row],[Total]]&lt;64,3,IF(Table710[[#This Row],[Total]]&lt;256,4,5))))</f>
        <v>4</v>
      </c>
      <c r="L4" s="213"/>
      <c r="M4" s="169">
        <f>+_xlfn.IFNA(INDEX(crests.progress[Crest.Qty],MATCH(SUM(Table710[[#This Row],[Best]]+1),crests.progress[Crest.Tier],0))-Table710[[#This Row],[Total]],0)</f>
        <v>189</v>
      </c>
      <c r="N4" s="170">
        <f>+_xlfn.IFNA(Table710[[#This Row],[Total]]/INDEX(crests.progress[Crest.Qty],MATCH(SUM(Table710[[#This Row],[Best]]+1),crests.progress[Crest.Tier],0)),1)</f>
        <v>0.26171875</v>
      </c>
      <c r="O4" s="170"/>
      <c r="P4" s="275"/>
      <c r="Q4" s="172" t="s">
        <v>46</v>
      </c>
      <c r="R4" s="163" t="s">
        <v>112</v>
      </c>
      <c r="S4" s="173">
        <f t="array" ref="S4">+INDEX(crests.sets[1],MATCH(Table10[[#This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158</v>
      </c>
      <c r="T4" s="174">
        <f t="array" ref="T4">+INDEX(crests.sets[2],MATCH(Table10[[#This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4</v>
      </c>
      <c r="U4" s="174">
        <f t="array" ref="U4">+INDEX(crests.sets[3],MATCH(Table10[[#This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2</v>
      </c>
      <c r="V4" s="174">
        <f t="array" ref="V4">+INDEX(crests.sets[4],MATCH(Table10[[#This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4" s="175">
        <f t="array" ref="W4">+INDEX(crests.sets[5],MATCH(Table10[[#This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4" s="176">
        <f>+Table10[[#This Row],[1]]+4*Table10[[#This Row],[2]]+16*Table10[[#This Row],[3]]+64*Table10[[#This Row],[4]]+256*Table10[[#This Row],[5]]--IF($E$41="No",VLOOKUP(Table10[[#This Row],[Crest.Name]],$B$44:$J$79,9,FALSE))</f>
        <v>270</v>
      </c>
      <c r="Y4" s="177">
        <f>+IF(Table10[[#This Row],[Total]]=0,0,IF(Table10[[#This Row],[Total]]&lt;4,1,IF(Table10[[#This Row],[Total]]&lt;16,2,IF(Table10[[#This Row],[Total]]&lt;64,3,IF(Table10[[#This Row],[Total]]&lt;256,4,5)))))</f>
        <v>5</v>
      </c>
      <c r="Z4" s="218"/>
      <c r="AA4" s="178">
        <f>+_xlfn.IFNA(INDEX(crests.progress[Crest.Qty],MATCH(SUM(Table10[[#This Row],[Best]]+1),crests.progress[Crest.Tier],0))-Table10[[#This Row],[Total]],0)</f>
        <v>0</v>
      </c>
      <c r="AB4" s="179">
        <f>+_xlfn.IFNA(Table10[[#This Row],[Total]]/INDEX(crests.progress[Crest.Qty],MATCH(SUM(Table10[[#This Row],[Best]]+1),crests.progress[Crest.Tier],0)),1)</f>
        <v>1</v>
      </c>
      <c r="AC4" s="171"/>
      <c r="AI4" s="180">
        <v>1</v>
      </c>
      <c r="AJ4" s="180">
        <v>1</v>
      </c>
    </row>
    <row r="5" spans="2:36" ht="15" thickBot="1" x14ac:dyDescent="0.25">
      <c r="B5" s="276"/>
      <c r="C5" s="29" t="s">
        <v>38</v>
      </c>
      <c r="D5" s="96" t="s">
        <v>113</v>
      </c>
      <c r="E5" s="60">
        <f t="array" ref="E5">+INDEX(crests.sets[1],MATCH(Table710[[#This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46</v>
      </c>
      <c r="F5" s="61">
        <f t="array" ref="F5">+INDEX(crests.sets[2],MATCH(Table710[[#This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5" s="61">
        <f t="array" ref="G5">+INDEX(crests.sets[3],MATCH(Table710[[#This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5" s="61">
        <f t="array" ref="H5">+INDEX(crests.sets[4],MATCH(Table710[[#This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5" s="62">
        <f t="array" ref="I5">+INDEX(crests.sets[5],MATCH(Table710[[#This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5" s="73">
        <f>+Table710[[#This Row],[1]]+4*Table710[[#This Row],[2]]+16*Table710[[#This Row],[3]]+64*Table710[[#This Row],[4]]+256*Table710[[#This Row],[5]]-IF($E$41="No",VLOOKUP(Table710[[#This Row],[Crest.Name]],$B$44:$J$79,9,FALSE))</f>
        <v>82</v>
      </c>
      <c r="K5" s="3">
        <f>+IF(Table710[[#This Row],[Total]]&lt;4,1,IF(Table710[[#This Row],[Total]]&lt;16,2,IF(Table710[[#This Row],[Total]]&lt;64,3,IF(Table710[[#This Row],[Total]]&lt;256,4,5))))</f>
        <v>4</v>
      </c>
      <c r="L5" s="214"/>
      <c r="M5" s="63">
        <f>+_xlfn.IFNA(INDEX(crests.progress[Crest.Qty],MATCH(SUM(Table710[[#This Row],[Best]]+1),crests.progress[Crest.Tier],0))-Table710[[#This Row],[Total]],0)</f>
        <v>174</v>
      </c>
      <c r="N5" s="75">
        <f>+_xlfn.IFNA(Table710[[#This Row],[Total]]/INDEX(crests.progress[Crest.Qty],MATCH(SUM(Table710[[#This Row],[Best]]+1),crests.progress[Crest.Tier],0)),1)</f>
        <v>0.3203125</v>
      </c>
      <c r="O5" s="75"/>
      <c r="P5" s="276"/>
      <c r="Q5" s="91" t="s">
        <v>46</v>
      </c>
      <c r="R5" s="96" t="s">
        <v>113</v>
      </c>
      <c r="S5" s="71">
        <f t="array" ref="S5">+INDEX(crests.sets[1],MATCH(Table10[[#This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140</v>
      </c>
      <c r="T5" s="64">
        <f t="array" ref="T5">+INDEX(crests.sets[2],MATCH(Table10[[#This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2</v>
      </c>
      <c r="U5" s="64">
        <f t="array" ref="U5">+INDEX(crests.sets[3],MATCH(Table10[[#This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5" s="64">
        <f t="array" ref="V5">+INDEX(crests.sets[4],MATCH(Table10[[#This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5" s="65">
        <f t="array" ref="W5">+INDEX(crests.sets[5],MATCH(Table10[[#This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5" s="77">
        <f>+Table10[[#This Row],[1]]+4*Table10[[#This Row],[2]]+16*Table10[[#This Row],[3]]+64*Table10[[#This Row],[4]]+256*Table10[[#This Row],[5]]--IF($E$41="No",VLOOKUP(Table10[[#This Row],[Crest.Name]],$B$44:$J$79,9,FALSE))</f>
        <v>228</v>
      </c>
      <c r="Y5" s="5">
        <f>+IF(Table10[[#This Row],[Total]]=0,0,IF(Table10[[#This Row],[Total]]&lt;4,1,IF(Table10[[#This Row],[Total]]&lt;16,2,IF(Table10[[#This Row],[Total]]&lt;64,3,IF(Table10[[#This Row],[Total]]&lt;256,4,5)))))</f>
        <v>4</v>
      </c>
      <c r="Z5" s="219"/>
      <c r="AA5" s="72">
        <f>+_xlfn.IFNA(INDEX(crests.progress[Crest.Qty],MATCH(SUM(Table10[[#This Row],[Best]]+1),crests.progress[Crest.Tier],0))-Table10[[#This Row],[Total]],0)</f>
        <v>28</v>
      </c>
      <c r="AB5" s="80">
        <f>+_xlfn.IFNA(Table10[[#This Row],[Total]]/INDEX(crests.progress[Crest.Qty],MATCH(SUM(Table10[[#This Row],[Best]]+1),crests.progress[Crest.Tier],0)),1)</f>
        <v>0.890625</v>
      </c>
      <c r="AC5" s="28"/>
      <c r="AI5" s="30">
        <v>2</v>
      </c>
      <c r="AJ5" s="30">
        <v>4</v>
      </c>
    </row>
    <row r="6" spans="2:36" ht="15" thickBot="1" x14ac:dyDescent="0.25">
      <c r="B6" s="276"/>
      <c r="C6" s="29" t="s">
        <v>38</v>
      </c>
      <c r="D6" s="95" t="s">
        <v>114</v>
      </c>
      <c r="E6" s="43">
        <f t="array" ref="E6">+INDEX(crests.sets[1],MATCH(Table710[[#This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29</v>
      </c>
      <c r="F6" s="44">
        <f t="array" ref="F6">+INDEX(crests.sets[2],MATCH(Table710[[#This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6" s="44">
        <f t="array" ref="G6">+INDEX(crests.sets[3],MATCH(Table710[[#This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6" s="44">
        <f t="array" ref="H6">+INDEX(crests.sets[4],MATCH(Table710[[#This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6" s="45">
        <f t="array" ref="I6">+INDEX(crests.sets[5],MATCH(Table710[[#This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6" s="73">
        <f>+Table710[[#This Row],[1]]+4*Table710[[#This Row],[2]]+16*Table710[[#This Row],[3]]+64*Table710[[#This Row],[4]]+256*Table710[[#This Row],[5]]-IF($E$41="No",VLOOKUP(Table710[[#This Row],[Crest.Name]],$B$44:$J$79,9,FALSE))</f>
        <v>65</v>
      </c>
      <c r="K6" s="3">
        <f>+IF(Table710[[#This Row],[Total]]&lt;4,1,IF(Table710[[#This Row],[Total]]&lt;16,2,IF(Table710[[#This Row],[Total]]&lt;64,3,IF(Table710[[#This Row],[Total]]&lt;256,4,5))))</f>
        <v>4</v>
      </c>
      <c r="L6" s="214"/>
      <c r="M6" s="46">
        <f>+_xlfn.IFNA(INDEX(crests.progress[Crest.Qty],MATCH(SUM(Table710[[#This Row],[Best]]+1),crests.progress[Crest.Tier],0))-Table710[[#This Row],[Total]],0)</f>
        <v>191</v>
      </c>
      <c r="N6" s="75">
        <f>+_xlfn.IFNA(Table710[[#This Row],[Total]]/INDEX(crests.progress[Crest.Qty],MATCH(SUM(Table710[[#This Row],[Best]]+1),crests.progress[Crest.Tier],0)),1)</f>
        <v>0.25390625</v>
      </c>
      <c r="O6" s="75"/>
      <c r="P6" s="276"/>
      <c r="Q6" s="92" t="s">
        <v>46</v>
      </c>
      <c r="R6" s="95" t="s">
        <v>114</v>
      </c>
      <c r="S6" s="56">
        <f t="array" ref="S6">+INDEX(crests.sets[1],MATCH(Table10[[#This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134</v>
      </c>
      <c r="T6" s="51">
        <f t="array" ref="T6">+INDEX(crests.sets[2],MATCH(Table10[[#This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4</v>
      </c>
      <c r="U6" s="51">
        <f t="array" ref="U6">+INDEX(crests.sets[3],MATCH(Table10[[#This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2</v>
      </c>
      <c r="V6" s="51">
        <f t="array" ref="V6">+INDEX(crests.sets[4],MATCH(Table10[[#This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6" s="52">
        <f t="array" ref="W6">+INDEX(crests.sets[5],MATCH(Table10[[#This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6" s="77">
        <f>+Table10[[#This Row],[1]]+4*Table10[[#This Row],[2]]+16*Table10[[#This Row],[3]]+64*Table10[[#This Row],[4]]+256*Table10[[#This Row],[5]]--IF($E$41="No",VLOOKUP(Table10[[#This Row],[Crest.Name]],$B$44:$J$79,9,FALSE))</f>
        <v>246</v>
      </c>
      <c r="Y6" s="5">
        <f>+IF(Table10[[#This Row],[Total]]=0,0,IF(Table10[[#This Row],[Total]]&lt;4,1,IF(Table10[[#This Row],[Total]]&lt;16,2,IF(Table10[[#This Row],[Total]]&lt;64,3,IF(Table10[[#This Row],[Total]]&lt;256,4,5)))))</f>
        <v>4</v>
      </c>
      <c r="Z6" s="219"/>
      <c r="AA6" s="57">
        <f>+_xlfn.IFNA(INDEX(crests.progress[Crest.Qty],MATCH(SUM(Table10[[#This Row],[Best]]+1),crests.progress[Crest.Tier],0))-Table10[[#This Row],[Total]],0)</f>
        <v>10</v>
      </c>
      <c r="AB6" s="80">
        <f>+_xlfn.IFNA(Table10[[#This Row],[Total]]/INDEX(crests.progress[Crest.Qty],MATCH(SUM(Table10[[#This Row],[Best]]+1),crests.progress[Crest.Tier],0)),1)</f>
        <v>0.9609375</v>
      </c>
      <c r="AC6" s="28"/>
      <c r="AI6" s="30">
        <v>3</v>
      </c>
      <c r="AJ6" s="30">
        <v>16</v>
      </c>
    </row>
    <row r="7" spans="2:36" ht="15" thickBot="1" x14ac:dyDescent="0.25">
      <c r="B7" s="276"/>
      <c r="C7" s="29" t="s">
        <v>38</v>
      </c>
      <c r="D7" s="96" t="s">
        <v>115</v>
      </c>
      <c r="E7" s="60">
        <f t="array" ref="E7">+INDEX(crests.sets[1],MATCH(Table710[[#This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5</v>
      </c>
      <c r="F7" s="61">
        <f t="array" ref="F7">+INDEX(crests.sets[2],MATCH(Table710[[#This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7" s="61">
        <f t="array" ref="G7">+INDEX(crests.sets[3],MATCH(Table710[[#This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7" s="61">
        <f t="array" ref="H7">+INDEX(crests.sets[4],MATCH(Table710[[#This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7" s="62">
        <f t="array" ref="I7">+INDEX(crests.sets[5],MATCH(Table710[[#This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7" s="73">
        <f>+Table710[[#This Row],[1]]+4*Table710[[#This Row],[2]]+16*Table710[[#This Row],[3]]+64*Table710[[#This Row],[4]]+256*Table710[[#This Row],[5]]-IF($E$41="No",VLOOKUP(Table710[[#This Row],[Crest.Name]],$B$44:$J$79,9,FALSE))</f>
        <v>41</v>
      </c>
      <c r="K7" s="3">
        <f>+IF(Table710[[#This Row],[Total]]&lt;4,1,IF(Table710[[#This Row],[Total]]&lt;16,2,IF(Table710[[#This Row],[Total]]&lt;64,3,IF(Table710[[#This Row],[Total]]&lt;256,4,5))))</f>
        <v>3</v>
      </c>
      <c r="L7" s="214"/>
      <c r="M7" s="63">
        <f>+_xlfn.IFNA(INDEX(crests.progress[Crest.Qty],MATCH(SUM(Table710[[#This Row],[Best]]+1),crests.progress[Crest.Tier],0))-Table710[[#This Row],[Total]],0)</f>
        <v>23</v>
      </c>
      <c r="N7" s="75">
        <f>+_xlfn.IFNA(Table710[[#This Row],[Total]]/INDEX(crests.progress[Crest.Qty],MATCH(SUM(Table710[[#This Row],[Best]]+1),crests.progress[Crest.Tier],0)),1)</f>
        <v>0.640625</v>
      </c>
      <c r="O7" s="75"/>
      <c r="P7" s="276"/>
      <c r="Q7" s="91" t="s">
        <v>46</v>
      </c>
      <c r="R7" s="96" t="s">
        <v>115</v>
      </c>
      <c r="S7" s="71">
        <f t="array" ref="S7">+INDEX(crests.sets[1],MATCH(Table10[[#This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49</v>
      </c>
      <c r="T7" s="64">
        <f t="array" ref="T7">+INDEX(crests.sets[2],MATCH(Table10[[#This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2</v>
      </c>
      <c r="U7" s="64">
        <f t="array" ref="U7">+INDEX(crests.sets[3],MATCH(Table10[[#This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7" s="64">
        <f t="array" ref="V7">+INDEX(crests.sets[4],MATCH(Table10[[#This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7" s="65">
        <f t="array" ref="W7">+INDEX(crests.sets[5],MATCH(Table10[[#This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7" s="77">
        <f>+Table10[[#This Row],[1]]+4*Table10[[#This Row],[2]]+16*Table10[[#This Row],[3]]+64*Table10[[#This Row],[4]]+256*Table10[[#This Row],[5]]--IF($E$41="No",VLOOKUP(Table10[[#This Row],[Crest.Name]],$B$44:$J$79,9,FALSE))</f>
        <v>137</v>
      </c>
      <c r="Y7" s="5">
        <f>+IF(Table10[[#This Row],[Total]]=0,0,IF(Table10[[#This Row],[Total]]&lt;4,1,IF(Table10[[#This Row],[Total]]&lt;16,2,IF(Table10[[#This Row],[Total]]&lt;64,3,IF(Table10[[#This Row],[Total]]&lt;256,4,5)))))</f>
        <v>4</v>
      </c>
      <c r="Z7" s="220"/>
      <c r="AA7" s="70">
        <f>+_xlfn.IFNA(INDEX(crests.progress[Crest.Qty],MATCH(SUM(Table10[[#This Row],[Best]]+1),crests.progress[Crest.Tier],0))-Table10[[#This Row],[Total]],0)</f>
        <v>119</v>
      </c>
      <c r="AB7" s="81">
        <f>+_xlfn.IFNA(Table10[[#This Row],[Total]]/INDEX(crests.progress[Crest.Qty],MATCH(SUM(Table10[[#This Row],[Best]]+1),crests.progress[Crest.Tier],0)),1)</f>
        <v>0.53515625</v>
      </c>
      <c r="AC7" s="28"/>
      <c r="AI7" s="30">
        <v>4</v>
      </c>
      <c r="AJ7" s="30">
        <v>64</v>
      </c>
    </row>
    <row r="8" spans="2:36" ht="15" thickBot="1" x14ac:dyDescent="0.25">
      <c r="B8" s="276"/>
      <c r="C8" s="31" t="s">
        <v>30</v>
      </c>
      <c r="D8" s="97" t="s">
        <v>112</v>
      </c>
      <c r="E8" s="47">
        <f t="array" ref="E8">+INDEX(crests.sets[1],MATCH(Table710[[#This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6</v>
      </c>
      <c r="F8" s="48">
        <f t="array" ref="F8">+INDEX(crests.sets[2],MATCH(Table710[[#This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8" s="48">
        <f t="array" ref="G8">+INDEX(crests.sets[3],MATCH(Table710[[#This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8" s="48">
        <f t="array" ref="H8">+INDEX(crests.sets[4],MATCH(Table710[[#This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8" s="49">
        <f t="array" ref="I8">+INDEX(crests.sets[5],MATCH(Table710[[#This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8" s="74">
        <f>+Table710[[#This Row],[1]]+4*Table710[[#This Row],[2]]+16*Table710[[#This Row],[3]]+64*Table710[[#This Row],[4]]+256*Table710[[#This Row],[5]]-IF($E$41="No",VLOOKUP(Table710[[#This Row],[Crest.Name]],$B$44:$J$79,9,FALSE))</f>
        <v>22</v>
      </c>
      <c r="K8" s="4">
        <f>+IF(Table710[[#This Row],[Total]]&lt;4,1,IF(Table710[[#This Row],[Total]]&lt;16,2,IF(Table710[[#This Row],[Total]]&lt;64,3,IF(Table710[[#This Row],[Total]]&lt;256,4,5))))</f>
        <v>3</v>
      </c>
      <c r="L8" s="215"/>
      <c r="M8" s="50">
        <f>+_xlfn.IFNA(INDEX(crests.progress[Crest.Qty],MATCH(SUM(Table710[[#This Row],[Best]]+1),crests.progress[Crest.Tier],0))-Table710[[#This Row],[Total]],0)</f>
        <v>42</v>
      </c>
      <c r="N8" s="76">
        <f>+_xlfn.IFNA(Table710[[#This Row],[Total]]/INDEX(crests.progress[Crest.Qty],MATCH(SUM(Table710[[#This Row],[Best]]+1),crests.progress[Crest.Tier],0)),1)</f>
        <v>0.34375</v>
      </c>
      <c r="O8" s="217"/>
      <c r="P8" s="276"/>
      <c r="Q8" s="93" t="s">
        <v>48</v>
      </c>
      <c r="R8" s="97" t="s">
        <v>112</v>
      </c>
      <c r="S8" s="58">
        <f t="array" ref="S8">+INDEX(crests.sets[1],MATCH(Table10[[#This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194</v>
      </c>
      <c r="T8" s="53">
        <f t="array" ref="T8">+INDEX(crests.sets[2],MATCH(Table10[[#This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8" s="53">
        <f t="array" ref="U8">+INDEX(crests.sets[3],MATCH(Table10[[#This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8" s="53">
        <f t="array" ref="V8">+INDEX(crests.sets[4],MATCH(Table10[[#This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8" s="54">
        <f t="array" ref="W8">+INDEX(crests.sets[5],MATCH(Table10[[#This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8" s="78">
        <f>+Table10[[#This Row],[1]]+4*Table10[[#This Row],[2]]+16*Table10[[#This Row],[3]]+64*Table10[[#This Row],[4]]+256*Table10[[#This Row],[5]]--IF($E$41="No",VLOOKUP(Table10[[#This Row],[Crest.Name]],$B$44:$J$79,9,FALSE))</f>
        <v>258</v>
      </c>
      <c r="Y8" s="6">
        <f>+IF(Table10[[#This Row],[Total]]=0,0,IF(Table10[[#This Row],[Total]]&lt;4,1,IF(Table10[[#This Row],[Total]]&lt;16,2,IF(Table10[[#This Row],[Total]]&lt;64,3,IF(Table10[[#This Row],[Total]]&lt;256,4,5)))))</f>
        <v>5</v>
      </c>
      <c r="Z8" s="221"/>
      <c r="AA8" s="59">
        <f>+_xlfn.IFNA(INDEX(crests.progress[Crest.Qty],MATCH(SUM(Table10[[#This Row],[Best]]+1),crests.progress[Crest.Tier],0))-Table10[[#This Row],[Total]],0)</f>
        <v>0</v>
      </c>
      <c r="AB8" s="82">
        <f>+_xlfn.IFNA(Table10[[#This Row],[Total]]/INDEX(crests.progress[Crest.Qty],MATCH(SUM(Table10[[#This Row],[Best]]+1),crests.progress[Crest.Tier],0)),1)</f>
        <v>1</v>
      </c>
      <c r="AC8" s="28"/>
      <c r="AI8" s="30">
        <v>5</v>
      </c>
      <c r="AJ8" s="30">
        <v>256</v>
      </c>
    </row>
    <row r="9" spans="2:36" ht="15" thickBot="1" x14ac:dyDescent="0.25">
      <c r="B9" s="276"/>
      <c r="C9" s="29" t="s">
        <v>30</v>
      </c>
      <c r="D9" s="96" t="s">
        <v>113</v>
      </c>
      <c r="E9" s="60">
        <f t="array" ref="E9">+INDEX(crests.sets[1],MATCH(Table710[[#This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7</v>
      </c>
      <c r="F9" s="61">
        <f t="array" ref="F9">+INDEX(crests.sets[2],MATCH(Table710[[#This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9" s="61">
        <f t="array" ref="G9">+INDEX(crests.sets[3],MATCH(Table710[[#This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9" s="61">
        <f t="array" ref="H9">+INDEX(crests.sets[4],MATCH(Table710[[#This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9" s="62">
        <f t="array" ref="I9">+INDEX(crests.sets[5],MATCH(Table710[[#This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9" s="73">
        <f>+Table710[[#This Row],[1]]+4*Table710[[#This Row],[2]]+16*Table710[[#This Row],[3]]+64*Table710[[#This Row],[4]]+256*Table710[[#This Row],[5]]-IF($E$41="No",VLOOKUP(Table710[[#This Row],[Crest.Name]],$B$44:$J$79,9,FALSE))</f>
        <v>23</v>
      </c>
      <c r="K9" s="3">
        <f>+IF(Table710[[#This Row],[Total]]&lt;4,1,IF(Table710[[#This Row],[Total]]&lt;16,2,IF(Table710[[#This Row],[Total]]&lt;64,3,IF(Table710[[#This Row],[Total]]&lt;256,4,5))))</f>
        <v>3</v>
      </c>
      <c r="L9" s="214"/>
      <c r="M9" s="63">
        <f>+_xlfn.IFNA(INDEX(crests.progress[Crest.Qty],MATCH(SUM(Table710[[#This Row],[Best]]+1),crests.progress[Crest.Tier],0))-Table710[[#This Row],[Total]],0)</f>
        <v>41</v>
      </c>
      <c r="N9" s="75">
        <f>+_xlfn.IFNA(Table710[[#This Row],[Total]]/INDEX(crests.progress[Crest.Qty],MATCH(SUM(Table710[[#This Row],[Best]]+1),crests.progress[Crest.Tier],0)),1)</f>
        <v>0.359375</v>
      </c>
      <c r="O9" s="75"/>
      <c r="P9" s="276"/>
      <c r="Q9" s="91" t="s">
        <v>48</v>
      </c>
      <c r="R9" s="96" t="s">
        <v>113</v>
      </c>
      <c r="S9" s="71">
        <f t="array" ref="S9">+INDEX(crests.sets[1],MATCH(Table10[[#This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144</v>
      </c>
      <c r="T9" s="64">
        <f t="array" ref="T9">+INDEX(crests.sets[2],MATCH(Table10[[#This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9" s="64">
        <f t="array" ref="U9">+INDEX(crests.sets[3],MATCH(Table10[[#This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9" s="64">
        <f t="array" ref="V9">+INDEX(crests.sets[4],MATCH(Table10[[#This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9" s="65">
        <f t="array" ref="W9">+INDEX(crests.sets[5],MATCH(Table10[[#This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9" s="77">
        <f>+Table10[[#This Row],[1]]+4*Table10[[#This Row],[2]]+16*Table10[[#This Row],[3]]+64*Table10[[#This Row],[4]]+256*Table10[[#This Row],[5]]--IF($E$41="No",VLOOKUP(Table10[[#This Row],[Crest.Name]],$B$44:$J$79,9,FALSE))</f>
        <v>208</v>
      </c>
      <c r="Y9" s="5">
        <f>+IF(Table10[[#This Row],[Total]]=0,0,IF(Table10[[#This Row],[Total]]&lt;4,1,IF(Table10[[#This Row],[Total]]&lt;16,2,IF(Table10[[#This Row],[Total]]&lt;64,3,IF(Table10[[#This Row],[Total]]&lt;256,4,5)))))</f>
        <v>4</v>
      </c>
      <c r="Z9" s="219"/>
      <c r="AA9" s="72">
        <f>+_xlfn.IFNA(INDEX(crests.progress[Crest.Qty],MATCH(SUM(Table10[[#This Row],[Best]]+1),crests.progress[Crest.Tier],0))-Table10[[#This Row],[Total]],0)</f>
        <v>48</v>
      </c>
      <c r="AB9" s="80">
        <f>+_xlfn.IFNA(Table10[[#This Row],[Total]]/INDEX(crests.progress[Crest.Qty],MATCH(SUM(Table10[[#This Row],[Best]]+1),crests.progress[Crest.Tier],0)),1)</f>
        <v>0.8125</v>
      </c>
      <c r="AC9" s="28"/>
    </row>
    <row r="10" spans="2:36" ht="15" thickBot="1" x14ac:dyDescent="0.25">
      <c r="B10" s="276"/>
      <c r="C10" s="29" t="s">
        <v>30</v>
      </c>
      <c r="D10" s="95" t="s">
        <v>114</v>
      </c>
      <c r="E10" s="43">
        <f t="array" ref="E10">+INDEX(crests.sets[1],MATCH(Table710[[#This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6</v>
      </c>
      <c r="F10" s="44">
        <f t="array" ref="F10">+INDEX(crests.sets[2],MATCH(Table710[[#This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0" s="44">
        <f t="array" ref="G10">+INDEX(crests.sets[3],MATCH(Table710[[#This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10" s="44">
        <f t="array" ref="H10">+INDEX(crests.sets[4],MATCH(Table710[[#This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0" s="45">
        <f t="array" ref="I10">+INDEX(crests.sets[5],MATCH(Table710[[#This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0" s="73">
        <f>+Table710[[#This Row],[1]]+4*Table710[[#This Row],[2]]+16*Table710[[#This Row],[3]]+64*Table710[[#This Row],[4]]+256*Table710[[#This Row],[5]]-IF($E$41="No",VLOOKUP(Table710[[#This Row],[Crest.Name]],$B$44:$J$79,9,FALSE))</f>
        <v>22</v>
      </c>
      <c r="K10" s="3">
        <f>+IF(Table710[[#This Row],[Total]]&lt;4,1,IF(Table710[[#This Row],[Total]]&lt;16,2,IF(Table710[[#This Row],[Total]]&lt;64,3,IF(Table710[[#This Row],[Total]]&lt;256,4,5))))</f>
        <v>3</v>
      </c>
      <c r="L10" s="214"/>
      <c r="M10" s="46">
        <f>+_xlfn.IFNA(INDEX(crests.progress[Crest.Qty],MATCH(SUM(Table710[[#This Row],[Best]]+1),crests.progress[Crest.Tier],0))-Table710[[#This Row],[Total]],0)</f>
        <v>42</v>
      </c>
      <c r="N10" s="75">
        <f>+_xlfn.IFNA(Table710[[#This Row],[Total]]/INDEX(crests.progress[Crest.Qty],MATCH(SUM(Table710[[#This Row],[Best]]+1),crests.progress[Crest.Tier],0)),1)</f>
        <v>0.34375</v>
      </c>
      <c r="O10" s="75"/>
      <c r="P10" s="276"/>
      <c r="Q10" s="92" t="s">
        <v>48</v>
      </c>
      <c r="R10" s="95" t="s">
        <v>114</v>
      </c>
      <c r="S10" s="56">
        <f t="array" ref="S10">+INDEX(crests.sets[1],MATCH(Table10[[#This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91</v>
      </c>
      <c r="T10" s="51">
        <f t="array" ref="T10">+INDEX(crests.sets[2],MATCH(Table10[[#This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10" s="51">
        <f t="array" ref="U10">+INDEX(crests.sets[3],MATCH(Table10[[#This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0" s="51">
        <f t="array" ref="V10">+INDEX(crests.sets[4],MATCH(Table10[[#This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0" s="52">
        <f t="array" ref="W10">+INDEX(crests.sets[5],MATCH(Table10[[#This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0" s="77">
        <f>+Table10[[#This Row],[1]]+4*Table10[[#This Row],[2]]+16*Table10[[#This Row],[3]]+64*Table10[[#This Row],[4]]+256*Table10[[#This Row],[5]]--IF($E$41="No",VLOOKUP(Table10[[#This Row],[Crest.Name]],$B$44:$J$79,9,FALSE))</f>
        <v>155</v>
      </c>
      <c r="Y10" s="5">
        <f>+IF(Table10[[#This Row],[Total]]=0,0,IF(Table10[[#This Row],[Total]]&lt;4,1,IF(Table10[[#This Row],[Total]]&lt;16,2,IF(Table10[[#This Row],[Total]]&lt;64,3,IF(Table10[[#This Row],[Total]]&lt;256,4,5)))))</f>
        <v>4</v>
      </c>
      <c r="Z10" s="219"/>
      <c r="AA10" s="57">
        <f>+_xlfn.IFNA(INDEX(crests.progress[Crest.Qty],MATCH(SUM(Table10[[#This Row],[Best]]+1),crests.progress[Crest.Tier],0))-Table10[[#This Row],[Total]],0)</f>
        <v>101</v>
      </c>
      <c r="AB10" s="80">
        <f>+_xlfn.IFNA(Table10[[#This Row],[Total]]/INDEX(crests.progress[Crest.Qty],MATCH(SUM(Table10[[#This Row],[Best]]+1),crests.progress[Crest.Tier],0)),1)</f>
        <v>0.60546875</v>
      </c>
      <c r="AC10" s="28"/>
    </row>
    <row r="11" spans="2:36" ht="15" thickBot="1" x14ac:dyDescent="0.25">
      <c r="B11" s="276"/>
      <c r="C11" s="29" t="s">
        <v>30</v>
      </c>
      <c r="D11" s="96" t="s">
        <v>115</v>
      </c>
      <c r="E11" s="60">
        <f t="array" ref="E11">+INDEX(crests.sets[1],MATCH(Table710[[#This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6</v>
      </c>
      <c r="F11" s="61">
        <f t="array" ref="F11">+INDEX(crests.sets[2],MATCH(Table710[[#This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1" s="61">
        <f t="array" ref="G11">+INDEX(crests.sets[3],MATCH(Table710[[#This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11" s="61">
        <f t="array" ref="H11">+INDEX(crests.sets[4],MATCH(Table710[[#This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1" s="62">
        <f t="array" ref="I11">+INDEX(crests.sets[5],MATCH(Table710[[#This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1" s="73">
        <f>+Table710[[#This Row],[1]]+4*Table710[[#This Row],[2]]+16*Table710[[#This Row],[3]]+64*Table710[[#This Row],[4]]+256*Table710[[#This Row],[5]]-IF($E$41="No",VLOOKUP(Table710[[#This Row],[Crest.Name]],$B$44:$J$79,9,FALSE))</f>
        <v>22</v>
      </c>
      <c r="K11" s="3">
        <f>+IF(Table710[[#This Row],[Total]]&lt;4,1,IF(Table710[[#This Row],[Total]]&lt;16,2,IF(Table710[[#This Row],[Total]]&lt;64,3,IF(Table710[[#This Row],[Total]]&lt;256,4,5))))</f>
        <v>3</v>
      </c>
      <c r="L11" s="214"/>
      <c r="M11" s="63">
        <f>+_xlfn.IFNA(INDEX(crests.progress[Crest.Qty],MATCH(SUM(Table710[[#This Row],[Best]]+1),crests.progress[Crest.Tier],0))-Table710[[#This Row],[Total]],0)</f>
        <v>42</v>
      </c>
      <c r="N11" s="75">
        <f>+_xlfn.IFNA(Table710[[#This Row],[Total]]/INDEX(crests.progress[Crest.Qty],MATCH(SUM(Table710[[#This Row],[Best]]+1),crests.progress[Crest.Tier],0)),1)</f>
        <v>0.34375</v>
      </c>
      <c r="O11" s="75"/>
      <c r="P11" s="276"/>
      <c r="Q11" s="91" t="s">
        <v>48</v>
      </c>
      <c r="R11" s="96" t="s">
        <v>115</v>
      </c>
      <c r="S11" s="71">
        <f t="array" ref="S11">+INDEX(crests.sets[1],MATCH(Table10[[#This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41</v>
      </c>
      <c r="T11" s="64">
        <f t="array" ref="T11">+INDEX(crests.sets[2],MATCH(Table10[[#This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11" s="64">
        <f t="array" ref="U11">+INDEX(crests.sets[3],MATCH(Table10[[#This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1" s="64">
        <f t="array" ref="V11">+INDEX(crests.sets[4],MATCH(Table10[[#This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1" s="65">
        <f t="array" ref="W11">+INDEX(crests.sets[5],MATCH(Table10[[#This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1" s="77">
        <f>+Table10[[#This Row],[1]]+4*Table10[[#This Row],[2]]+16*Table10[[#This Row],[3]]+64*Table10[[#This Row],[4]]+256*Table10[[#This Row],[5]]--IF($E$41="No",VLOOKUP(Table10[[#This Row],[Crest.Name]],$B$44:$J$79,9,FALSE))</f>
        <v>105</v>
      </c>
      <c r="Y11" s="5">
        <f>+IF(Table10[[#This Row],[Total]]=0,0,IF(Table10[[#This Row],[Total]]&lt;4,1,IF(Table10[[#This Row],[Total]]&lt;16,2,IF(Table10[[#This Row],[Total]]&lt;64,3,IF(Table10[[#This Row],[Total]]&lt;256,4,5)))))</f>
        <v>4</v>
      </c>
      <c r="Z11" s="220"/>
      <c r="AA11" s="70">
        <f>+_xlfn.IFNA(INDEX(crests.progress[Crest.Qty],MATCH(SUM(Table10[[#This Row],[Best]]+1),crests.progress[Crest.Tier],0))-Table10[[#This Row],[Total]],0)</f>
        <v>151</v>
      </c>
      <c r="AB11" s="81">
        <f>+_xlfn.IFNA(Table10[[#This Row],[Total]]/INDEX(crests.progress[Crest.Qty],MATCH(SUM(Table10[[#This Row],[Best]]+1),crests.progress[Crest.Tier],0)),1)</f>
        <v>0.41015625</v>
      </c>
      <c r="AC11" s="28"/>
    </row>
    <row r="12" spans="2:36" ht="15" thickBot="1" x14ac:dyDescent="0.25">
      <c r="B12" s="276"/>
      <c r="C12" s="31" t="s">
        <v>36</v>
      </c>
      <c r="D12" s="97" t="s">
        <v>112</v>
      </c>
      <c r="E12" s="47">
        <f t="array" ref="E12">+INDEX(crests.sets[1],MATCH(Table710[[#This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10</v>
      </c>
      <c r="F12" s="48">
        <f t="array" ref="F12">+INDEX(crests.sets[2],MATCH(Table710[[#This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2" s="48">
        <f t="array" ref="G12">+INDEX(crests.sets[3],MATCH(Table710[[#This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12" s="48">
        <f t="array" ref="H12">+INDEX(crests.sets[4],MATCH(Table710[[#This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12" s="49">
        <f t="array" ref="I12">+INDEX(crests.sets[5],MATCH(Table710[[#This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2" s="74">
        <f>+Table710[[#This Row],[1]]+4*Table710[[#This Row],[2]]+16*Table710[[#This Row],[3]]+64*Table710[[#This Row],[4]]+256*Table710[[#This Row],[5]]-IF($E$41="No",VLOOKUP(Table710[[#This Row],[Crest.Name]],$B$44:$J$79,9,FALSE))</f>
        <v>26</v>
      </c>
      <c r="K12" s="4">
        <f>+IF(Table710[[#This Row],[Total]]&lt;4,1,IF(Table710[[#This Row],[Total]]&lt;16,2,IF(Table710[[#This Row],[Total]]&lt;64,3,IF(Table710[[#This Row],[Total]]&lt;256,4,5))))</f>
        <v>3</v>
      </c>
      <c r="L12" s="215"/>
      <c r="M12" s="50">
        <f>+_xlfn.IFNA(INDEX(crests.progress[Crest.Qty],MATCH(SUM(Table710[[#This Row],[Best]]+1),crests.progress[Crest.Tier],0))-Table710[[#This Row],[Total]],0)</f>
        <v>38</v>
      </c>
      <c r="N12" s="76">
        <f>+_xlfn.IFNA(Table710[[#This Row],[Total]]/INDEX(crests.progress[Crest.Qty],MATCH(SUM(Table710[[#This Row],[Best]]+1),crests.progress[Crest.Tier],0)),1)</f>
        <v>0.40625</v>
      </c>
      <c r="O12" s="217"/>
      <c r="P12" s="276"/>
      <c r="Q12" s="93" t="s">
        <v>8</v>
      </c>
      <c r="R12" s="97" t="s">
        <v>112</v>
      </c>
      <c r="S12" s="58">
        <f t="array" ref="S12">+INDEX(crests.sets[1],MATCH(Table10[[#This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17</v>
      </c>
      <c r="T12" s="53">
        <f t="array" ref="T12">+INDEX(crests.sets[2],MATCH(Table10[[#This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12" s="53">
        <f t="array" ref="U12">+INDEX(crests.sets[3],MATCH(Table10[[#This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2" s="53">
        <f t="array" ref="V12">+INDEX(crests.sets[4],MATCH(Table10[[#This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2" s="54">
        <f t="array" ref="W12">+INDEX(crests.sets[5],MATCH(Table10[[#This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2" s="78">
        <f>+Table10[[#This Row],[1]]+4*Table10[[#This Row],[2]]+16*Table10[[#This Row],[3]]+64*Table10[[#This Row],[4]]+256*Table10[[#This Row],[5]]--IF($E$41="No",VLOOKUP(Table10[[#This Row],[Crest.Name]],$B$44:$J$79,9,FALSE))</f>
        <v>149</v>
      </c>
      <c r="Y12" s="6">
        <f>+IF(Table10[[#This Row],[Total]]=0,0,IF(Table10[[#This Row],[Total]]&lt;4,1,IF(Table10[[#This Row],[Total]]&lt;16,2,IF(Table10[[#This Row],[Total]]&lt;64,3,IF(Table10[[#This Row],[Total]]&lt;256,4,5)))))</f>
        <v>4</v>
      </c>
      <c r="Z12" s="221"/>
      <c r="AA12" s="59">
        <f>+_xlfn.IFNA(INDEX(crests.progress[Crest.Qty],MATCH(SUM(Table10[[#This Row],[Best]]+1),crests.progress[Crest.Tier],0))-Table10[[#This Row],[Total]],0)</f>
        <v>107</v>
      </c>
      <c r="AB12" s="82">
        <f>+_xlfn.IFNA(Table10[[#This Row],[Total]]/INDEX(crests.progress[Crest.Qty],MATCH(SUM(Table10[[#This Row],[Best]]+1),crests.progress[Crest.Tier],0)),1)</f>
        <v>0.58203125</v>
      </c>
      <c r="AC12" s="28"/>
    </row>
    <row r="13" spans="2:36" ht="15" thickBot="1" x14ac:dyDescent="0.25">
      <c r="B13" s="276"/>
      <c r="C13" s="29" t="s">
        <v>36</v>
      </c>
      <c r="D13" s="96" t="s">
        <v>113</v>
      </c>
      <c r="E13" s="60">
        <f t="array" ref="E13">+INDEX(crests.sets[1],MATCH(Table710[[#This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31</v>
      </c>
      <c r="F13" s="61">
        <f t="array" ref="F13">+INDEX(crests.sets[2],MATCH(Table710[[#This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2</v>
      </c>
      <c r="G13" s="61">
        <f t="array" ref="G13">+INDEX(crests.sets[3],MATCH(Table710[[#This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13" s="61">
        <f t="array" ref="H13">+INDEX(crests.sets[4],MATCH(Table710[[#This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13" s="62">
        <f t="array" ref="I13">+INDEX(crests.sets[5],MATCH(Table710[[#This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3" s="73">
        <f>+Table710[[#This Row],[1]]+4*Table710[[#This Row],[2]]+16*Table710[[#This Row],[3]]+64*Table710[[#This Row],[4]]+256*Table710[[#This Row],[5]]-IF($E$41="No",VLOOKUP(Table710[[#This Row],[Crest.Name]],$B$44:$J$79,9,FALSE))</f>
        <v>55</v>
      </c>
      <c r="K13" s="3">
        <f>+IF(Table710[[#This Row],[Total]]&lt;4,1,IF(Table710[[#This Row],[Total]]&lt;16,2,IF(Table710[[#This Row],[Total]]&lt;64,3,IF(Table710[[#This Row],[Total]]&lt;256,4,5))))</f>
        <v>3</v>
      </c>
      <c r="L13" s="214"/>
      <c r="M13" s="63">
        <f>+_xlfn.IFNA(INDEX(crests.progress[Crest.Qty],MATCH(SUM(Table710[[#This Row],[Best]]+1),crests.progress[Crest.Tier],0))-Table710[[#This Row],[Total]],0)</f>
        <v>9</v>
      </c>
      <c r="N13" s="75">
        <f>+_xlfn.IFNA(Table710[[#This Row],[Total]]/INDEX(crests.progress[Crest.Qty],MATCH(SUM(Table710[[#This Row],[Best]]+1),crests.progress[Crest.Tier],0)),1)</f>
        <v>0.859375</v>
      </c>
      <c r="O13" s="75"/>
      <c r="P13" s="276"/>
      <c r="Q13" s="91" t="s">
        <v>8</v>
      </c>
      <c r="R13" s="96" t="s">
        <v>113</v>
      </c>
      <c r="S13" s="71">
        <f t="array" ref="S13">+INDEX(crests.sets[1],MATCH(Table10[[#This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20</v>
      </c>
      <c r="T13" s="64">
        <f t="array" ref="T13">+INDEX(crests.sets[2],MATCH(Table10[[#This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13" s="64">
        <f t="array" ref="U13">+INDEX(crests.sets[3],MATCH(Table10[[#This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3" s="64">
        <f t="array" ref="V13">+INDEX(crests.sets[4],MATCH(Table10[[#This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3" s="65">
        <f t="array" ref="W13">+INDEX(crests.sets[5],MATCH(Table10[[#This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3" s="77">
        <f>+Table10[[#This Row],[1]]+4*Table10[[#This Row],[2]]+16*Table10[[#This Row],[3]]+64*Table10[[#This Row],[4]]+256*Table10[[#This Row],[5]]--IF($E$41="No",VLOOKUP(Table10[[#This Row],[Crest.Name]],$B$44:$J$79,9,FALSE))</f>
        <v>148</v>
      </c>
      <c r="Y13" s="5">
        <f>+IF(Table10[[#This Row],[Total]]=0,0,IF(Table10[[#This Row],[Total]]&lt;4,1,IF(Table10[[#This Row],[Total]]&lt;16,2,IF(Table10[[#This Row],[Total]]&lt;64,3,IF(Table10[[#This Row],[Total]]&lt;256,4,5)))))</f>
        <v>4</v>
      </c>
      <c r="Z13" s="219"/>
      <c r="AA13" s="72">
        <f>+_xlfn.IFNA(INDEX(crests.progress[Crest.Qty],MATCH(SUM(Table10[[#This Row],[Best]]+1),crests.progress[Crest.Tier],0))-Table10[[#This Row],[Total]],0)</f>
        <v>108</v>
      </c>
      <c r="AB13" s="80">
        <f>+_xlfn.IFNA(Table10[[#This Row],[Total]]/INDEX(crests.progress[Crest.Qty],MATCH(SUM(Table10[[#This Row],[Best]]+1),crests.progress[Crest.Tier],0)),1)</f>
        <v>0.578125</v>
      </c>
      <c r="AC13" s="28"/>
    </row>
    <row r="14" spans="2:36" ht="15" thickBot="1" x14ac:dyDescent="0.25">
      <c r="B14" s="276"/>
      <c r="C14" s="29" t="s">
        <v>36</v>
      </c>
      <c r="D14" s="95" t="s">
        <v>114</v>
      </c>
      <c r="E14" s="43">
        <f t="array" ref="E14">+INDEX(crests.sets[1],MATCH(Table710[[#This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3</v>
      </c>
      <c r="F14" s="44">
        <f t="array" ref="F14">+INDEX(crests.sets[2],MATCH(Table710[[#This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4" s="44">
        <f t="array" ref="G14">+INDEX(crests.sets[3],MATCH(Table710[[#This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14" s="44">
        <f t="array" ref="H14">+INDEX(crests.sets[4],MATCH(Table710[[#This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14" s="45">
        <f t="array" ref="I14">+INDEX(crests.sets[5],MATCH(Table710[[#This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4" s="73">
        <f>+Table710[[#This Row],[1]]+4*Table710[[#This Row],[2]]+16*Table710[[#This Row],[3]]+64*Table710[[#This Row],[4]]+256*Table710[[#This Row],[5]]-IF($E$41="No",VLOOKUP(Table710[[#This Row],[Crest.Name]],$B$44:$J$79,9,FALSE))</f>
        <v>19</v>
      </c>
      <c r="K14" s="3">
        <f>+IF(Table710[[#This Row],[Total]]&lt;4,1,IF(Table710[[#This Row],[Total]]&lt;16,2,IF(Table710[[#This Row],[Total]]&lt;64,3,IF(Table710[[#This Row],[Total]]&lt;256,4,5))))</f>
        <v>3</v>
      </c>
      <c r="L14" s="214"/>
      <c r="M14" s="46">
        <f>+_xlfn.IFNA(INDEX(crests.progress[Crest.Qty],MATCH(SUM(Table710[[#This Row],[Best]]+1),crests.progress[Crest.Tier],0))-Table710[[#This Row],[Total]],0)</f>
        <v>45</v>
      </c>
      <c r="N14" s="75">
        <f>+_xlfn.IFNA(Table710[[#This Row],[Total]]/INDEX(crests.progress[Crest.Qty],MATCH(SUM(Table710[[#This Row],[Best]]+1),crests.progress[Crest.Tier],0)),1)</f>
        <v>0.296875</v>
      </c>
      <c r="O14" s="75"/>
      <c r="P14" s="276"/>
      <c r="Q14" s="92" t="s">
        <v>8</v>
      </c>
      <c r="R14" s="95" t="s">
        <v>114</v>
      </c>
      <c r="S14" s="56">
        <f t="array" ref="S14">+INDEX(crests.sets[1],MATCH(Table10[[#This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39</v>
      </c>
      <c r="T14" s="51">
        <f t="array" ref="T14">+INDEX(crests.sets[2],MATCH(Table10[[#This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14" s="51">
        <f t="array" ref="U14">+INDEX(crests.sets[3],MATCH(Table10[[#This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4" s="51">
        <f t="array" ref="V14">+INDEX(crests.sets[4],MATCH(Table10[[#This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4" s="52">
        <f t="array" ref="W14">+INDEX(crests.sets[5],MATCH(Table10[[#This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4" s="77">
        <f>+Table10[[#This Row],[1]]+4*Table10[[#This Row],[2]]+16*Table10[[#This Row],[3]]+64*Table10[[#This Row],[4]]+256*Table10[[#This Row],[5]]--IF($E$41="No",VLOOKUP(Table10[[#This Row],[Crest.Name]],$B$44:$J$79,9,FALSE))</f>
        <v>171</v>
      </c>
      <c r="Y14" s="5">
        <f>+IF(Table10[[#This Row],[Total]]=0,0,IF(Table10[[#This Row],[Total]]&lt;4,1,IF(Table10[[#This Row],[Total]]&lt;16,2,IF(Table10[[#This Row],[Total]]&lt;64,3,IF(Table10[[#This Row],[Total]]&lt;256,4,5)))))</f>
        <v>4</v>
      </c>
      <c r="Z14" s="219"/>
      <c r="AA14" s="57">
        <f>+_xlfn.IFNA(INDEX(crests.progress[Crest.Qty],MATCH(SUM(Table10[[#This Row],[Best]]+1),crests.progress[Crest.Tier],0))-Table10[[#This Row],[Total]],0)</f>
        <v>85</v>
      </c>
      <c r="AB14" s="80">
        <f>+_xlfn.IFNA(Table10[[#This Row],[Total]]/INDEX(crests.progress[Crest.Qty],MATCH(SUM(Table10[[#This Row],[Best]]+1),crests.progress[Crest.Tier],0)),1)</f>
        <v>0.66796875</v>
      </c>
      <c r="AC14" s="28"/>
    </row>
    <row r="15" spans="2:36" ht="15" thickBot="1" x14ac:dyDescent="0.25">
      <c r="B15" s="276"/>
      <c r="C15" s="29" t="s">
        <v>36</v>
      </c>
      <c r="D15" s="96" t="s">
        <v>115</v>
      </c>
      <c r="E15" s="60">
        <f t="array" ref="E15">+INDEX(crests.sets[1],MATCH(Table710[[#This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12</v>
      </c>
      <c r="F15" s="61">
        <f t="array" ref="F15">+INDEX(crests.sets[2],MATCH(Table710[[#This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5" s="61">
        <f t="array" ref="G15">+INDEX(crests.sets[3],MATCH(Table710[[#This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15" s="61">
        <f t="array" ref="H15">+INDEX(crests.sets[4],MATCH(Table710[[#This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15" s="62">
        <f t="array" ref="I15">+INDEX(crests.sets[5],MATCH(Table710[[#This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5" s="73">
        <f>+Table710[[#This Row],[1]]+4*Table710[[#This Row],[2]]+16*Table710[[#This Row],[3]]+64*Table710[[#This Row],[4]]+256*Table710[[#This Row],[5]]-IF($E$41="No",VLOOKUP(Table710[[#This Row],[Crest.Name]],$B$44:$J$79,9,FALSE))</f>
        <v>44</v>
      </c>
      <c r="K15" s="3">
        <f>+IF(Table710[[#This Row],[Total]]&lt;4,1,IF(Table710[[#This Row],[Total]]&lt;16,2,IF(Table710[[#This Row],[Total]]&lt;64,3,IF(Table710[[#This Row],[Total]]&lt;256,4,5))))</f>
        <v>3</v>
      </c>
      <c r="L15" s="214"/>
      <c r="M15" s="63">
        <f>+_xlfn.IFNA(INDEX(crests.progress[Crest.Qty],MATCH(SUM(Table710[[#This Row],[Best]]+1),crests.progress[Crest.Tier],0))-Table710[[#This Row],[Total]],0)</f>
        <v>20</v>
      </c>
      <c r="N15" s="75">
        <f>+_xlfn.IFNA(Table710[[#This Row],[Total]]/INDEX(crests.progress[Crest.Qty],MATCH(SUM(Table710[[#This Row],[Best]]+1),crests.progress[Crest.Tier],0)),1)</f>
        <v>0.6875</v>
      </c>
      <c r="O15" s="75"/>
      <c r="P15" s="276"/>
      <c r="Q15" s="91" t="s">
        <v>8</v>
      </c>
      <c r="R15" s="96" t="s">
        <v>115</v>
      </c>
      <c r="S15" s="71">
        <f t="array" ref="S15">+INDEX(crests.sets[1],MATCH(Table10[[#This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20</v>
      </c>
      <c r="T15" s="64">
        <f t="array" ref="T15">+INDEX(crests.sets[2],MATCH(Table10[[#This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2</v>
      </c>
      <c r="U15" s="64">
        <f t="array" ref="U15">+INDEX(crests.sets[3],MATCH(Table10[[#This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5" s="64">
        <f t="array" ref="V15">+INDEX(crests.sets[4],MATCH(Table10[[#This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5" s="65">
        <f t="array" ref="W15">+INDEX(crests.sets[5],MATCH(Table10[[#This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5" s="77">
        <f>+Table10[[#This Row],[1]]+4*Table10[[#This Row],[2]]+16*Table10[[#This Row],[3]]+64*Table10[[#This Row],[4]]+256*Table10[[#This Row],[5]]--IF($E$41="No",VLOOKUP(Table10[[#This Row],[Crest.Name]],$B$44:$J$79,9,FALSE))</f>
        <v>156</v>
      </c>
      <c r="Y15" s="5">
        <f>+IF(Table10[[#This Row],[Total]]=0,0,IF(Table10[[#This Row],[Total]]&lt;4,1,IF(Table10[[#This Row],[Total]]&lt;16,2,IF(Table10[[#This Row],[Total]]&lt;64,3,IF(Table10[[#This Row],[Total]]&lt;256,4,5)))))</f>
        <v>4</v>
      </c>
      <c r="Z15" s="220"/>
      <c r="AA15" s="70">
        <f>+_xlfn.IFNA(INDEX(crests.progress[Crest.Qty],MATCH(SUM(Table10[[#This Row],[Best]]+1),crests.progress[Crest.Tier],0))-Table10[[#This Row],[Total]],0)</f>
        <v>100</v>
      </c>
      <c r="AB15" s="81">
        <f>+_xlfn.IFNA(Table10[[#This Row],[Total]]/INDEX(crests.progress[Crest.Qty],MATCH(SUM(Table10[[#This Row],[Best]]+1),crests.progress[Crest.Tier],0)),1)</f>
        <v>0.609375</v>
      </c>
      <c r="AC15" s="28"/>
    </row>
    <row r="16" spans="2:36" ht="15" thickBot="1" x14ac:dyDescent="0.25">
      <c r="B16" s="276"/>
      <c r="C16" s="31" t="s">
        <v>42</v>
      </c>
      <c r="D16" s="97" t="s">
        <v>112</v>
      </c>
      <c r="E16" s="47">
        <f t="array" ref="E16">+INDEX(crests.sets[1],MATCH(Table710[[#This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49</v>
      </c>
      <c r="F16" s="48">
        <f t="array" ref="F16">+INDEX(crests.sets[2],MATCH(Table710[[#This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6" s="48">
        <f t="array" ref="G16">+INDEX(crests.sets[3],MATCH(Table710[[#This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16" s="48">
        <f t="array" ref="H16">+INDEX(crests.sets[4],MATCH(Table710[[#This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6" s="49">
        <f t="array" ref="I16">+INDEX(crests.sets[5],MATCH(Table710[[#This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6" s="74">
        <f>+Table710[[#This Row],[1]]+4*Table710[[#This Row],[2]]+16*Table710[[#This Row],[3]]+64*Table710[[#This Row],[4]]+256*Table710[[#This Row],[5]]-IF($E$41="No",VLOOKUP(Table710[[#This Row],[Crest.Name]],$B$44:$J$79,9,FALSE))</f>
        <v>49</v>
      </c>
      <c r="K16" s="4">
        <f>+IF(Table710[[#This Row],[Total]]&lt;4,1,IF(Table710[[#This Row],[Total]]&lt;16,2,IF(Table710[[#This Row],[Total]]&lt;64,3,IF(Table710[[#This Row],[Total]]&lt;256,4,5))))</f>
        <v>3</v>
      </c>
      <c r="L16" s="215"/>
      <c r="M16" s="50">
        <f>+_xlfn.IFNA(INDEX(crests.progress[Crest.Qty],MATCH(SUM(Table710[[#This Row],[Best]]+1),crests.progress[Crest.Tier],0))-Table710[[#This Row],[Total]],0)</f>
        <v>15</v>
      </c>
      <c r="N16" s="76">
        <f>+_xlfn.IFNA(Table710[[#This Row],[Total]]/INDEX(crests.progress[Crest.Qty],MATCH(SUM(Table710[[#This Row],[Best]]+1),crests.progress[Crest.Tier],0)),1)</f>
        <v>0.765625</v>
      </c>
      <c r="O16" s="217"/>
      <c r="P16" s="276"/>
      <c r="Q16" s="93" t="s">
        <v>50</v>
      </c>
      <c r="R16" s="97" t="s">
        <v>112</v>
      </c>
      <c r="S16" s="58">
        <f t="array" ref="S16">+INDEX(crests.sets[1],MATCH(Table10[[#This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128</v>
      </c>
      <c r="T16" s="53">
        <f t="array" ref="T16">+INDEX(crests.sets[2],MATCH(Table10[[#This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6</v>
      </c>
      <c r="U16" s="53">
        <f t="array" ref="U16">+INDEX(crests.sets[3],MATCH(Table10[[#This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16" s="53">
        <f t="array" ref="V16">+INDEX(crests.sets[4],MATCH(Table10[[#This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6" s="54">
        <f t="array" ref="W16">+INDEX(crests.sets[5],MATCH(Table10[[#This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6" s="78">
        <f>+Table10[[#This Row],[1]]+4*Table10[[#This Row],[2]]+16*Table10[[#This Row],[3]]+64*Table10[[#This Row],[4]]+256*Table10[[#This Row],[5]]--IF($E$41="No",VLOOKUP(Table10[[#This Row],[Crest.Name]],$B$44:$J$79,9,FALSE))</f>
        <v>232</v>
      </c>
      <c r="Y16" s="6">
        <f>+IF(Table10[[#This Row],[Total]]=0,0,IF(Table10[[#This Row],[Total]]&lt;4,1,IF(Table10[[#This Row],[Total]]&lt;16,2,IF(Table10[[#This Row],[Total]]&lt;64,3,IF(Table10[[#This Row],[Total]]&lt;256,4,5)))))</f>
        <v>4</v>
      </c>
      <c r="Z16" s="221"/>
      <c r="AA16" s="59">
        <f>+_xlfn.IFNA(INDEX(crests.progress[Crest.Qty],MATCH(SUM(Table10[[#This Row],[Best]]+1),crests.progress[Crest.Tier],0))-Table10[[#This Row],[Total]],0)</f>
        <v>24</v>
      </c>
      <c r="AB16" s="82">
        <f>+_xlfn.IFNA(Table10[[#This Row],[Total]]/INDEX(crests.progress[Crest.Qty],MATCH(SUM(Table10[[#This Row],[Best]]+1),crests.progress[Crest.Tier],0)),1)</f>
        <v>0.90625</v>
      </c>
      <c r="AC16" s="28"/>
    </row>
    <row r="17" spans="2:29" ht="15" thickBot="1" x14ac:dyDescent="0.25">
      <c r="B17" s="276"/>
      <c r="C17" s="29" t="s">
        <v>42</v>
      </c>
      <c r="D17" s="96" t="s">
        <v>113</v>
      </c>
      <c r="E17" s="60">
        <f t="array" ref="E17">+INDEX(crests.sets[1],MATCH(Table710[[#This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59</v>
      </c>
      <c r="F17" s="61">
        <f t="array" ref="F17">+INDEX(crests.sets[2],MATCH(Table710[[#This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7" s="61">
        <f t="array" ref="G17">+INDEX(crests.sets[3],MATCH(Table710[[#This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17" s="61">
        <f t="array" ref="H17">+INDEX(crests.sets[4],MATCH(Table710[[#This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7" s="62">
        <f t="array" ref="I17">+INDEX(crests.sets[5],MATCH(Table710[[#This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7" s="73">
        <f>+Table710[[#This Row],[1]]+4*Table710[[#This Row],[2]]+16*Table710[[#This Row],[3]]+64*Table710[[#This Row],[4]]+256*Table710[[#This Row],[5]]-IF($E$41="No",VLOOKUP(Table710[[#This Row],[Crest.Name]],$B$44:$J$79,9,FALSE))</f>
        <v>59</v>
      </c>
      <c r="K17" s="3">
        <f>+IF(Table710[[#This Row],[Total]]&lt;4,1,IF(Table710[[#This Row],[Total]]&lt;16,2,IF(Table710[[#This Row],[Total]]&lt;64,3,IF(Table710[[#This Row],[Total]]&lt;256,4,5))))</f>
        <v>3</v>
      </c>
      <c r="L17" s="214"/>
      <c r="M17" s="63">
        <f>+_xlfn.IFNA(INDEX(crests.progress[Crest.Qty],MATCH(SUM(Table710[[#This Row],[Best]]+1),crests.progress[Crest.Tier],0))-Table710[[#This Row],[Total]],0)</f>
        <v>5</v>
      </c>
      <c r="N17" s="75">
        <f>+_xlfn.IFNA(Table710[[#This Row],[Total]]/INDEX(crests.progress[Crest.Qty],MATCH(SUM(Table710[[#This Row],[Best]]+1),crests.progress[Crest.Tier],0)),1)</f>
        <v>0.921875</v>
      </c>
      <c r="O17" s="75"/>
      <c r="P17" s="276"/>
      <c r="Q17" s="91" t="s">
        <v>50</v>
      </c>
      <c r="R17" s="96" t="s">
        <v>113</v>
      </c>
      <c r="S17" s="71">
        <f t="array" ref="S17">+INDEX(crests.sets[1],MATCH(Table10[[#This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142</v>
      </c>
      <c r="T17" s="64">
        <f t="array" ref="T17">+INDEX(crests.sets[2],MATCH(Table10[[#This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4</v>
      </c>
      <c r="U17" s="64">
        <f t="array" ref="U17">+INDEX(crests.sets[3],MATCH(Table10[[#This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7" s="64">
        <f t="array" ref="V17">+INDEX(crests.sets[4],MATCH(Table10[[#This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7" s="65">
        <f t="array" ref="W17">+INDEX(crests.sets[5],MATCH(Table10[[#This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7" s="77">
        <f>+Table10[[#This Row],[1]]+4*Table10[[#This Row],[2]]+16*Table10[[#This Row],[3]]+64*Table10[[#This Row],[4]]+256*Table10[[#This Row],[5]]--IF($E$41="No",VLOOKUP(Table10[[#This Row],[Crest.Name]],$B$44:$J$79,9,FALSE))</f>
        <v>222</v>
      </c>
      <c r="Y17" s="5">
        <f>+IF(Table10[[#This Row],[Total]]=0,0,IF(Table10[[#This Row],[Total]]&lt;4,1,IF(Table10[[#This Row],[Total]]&lt;16,2,IF(Table10[[#This Row],[Total]]&lt;64,3,IF(Table10[[#This Row],[Total]]&lt;256,4,5)))))</f>
        <v>4</v>
      </c>
      <c r="Z17" s="219"/>
      <c r="AA17" s="72">
        <f>+_xlfn.IFNA(INDEX(crests.progress[Crest.Qty],MATCH(SUM(Table10[[#This Row],[Best]]+1),crests.progress[Crest.Tier],0))-Table10[[#This Row],[Total]],0)</f>
        <v>34</v>
      </c>
      <c r="AB17" s="80">
        <f>+_xlfn.IFNA(Table10[[#This Row],[Total]]/INDEX(crests.progress[Crest.Qty],MATCH(SUM(Table10[[#This Row],[Best]]+1),crests.progress[Crest.Tier],0)),1)</f>
        <v>0.8671875</v>
      </c>
      <c r="AC17" s="28"/>
    </row>
    <row r="18" spans="2:29" ht="15" thickBot="1" x14ac:dyDescent="0.25">
      <c r="B18" s="276"/>
      <c r="C18" s="29" t="s">
        <v>42</v>
      </c>
      <c r="D18" s="95" t="s">
        <v>114</v>
      </c>
      <c r="E18" s="43">
        <f t="array" ref="E18">+INDEX(crests.sets[1],MATCH(Table710[[#This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45</v>
      </c>
      <c r="F18" s="44">
        <f t="array" ref="F18">+INDEX(crests.sets[2],MATCH(Table710[[#This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8" s="44">
        <f t="array" ref="G18">+INDEX(crests.sets[3],MATCH(Table710[[#This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18" s="44">
        <f t="array" ref="H18">+INDEX(crests.sets[4],MATCH(Table710[[#This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8" s="45">
        <f t="array" ref="I18">+INDEX(crests.sets[5],MATCH(Table710[[#This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18" s="73">
        <f>+Table710[[#This Row],[1]]+4*Table710[[#This Row],[2]]+16*Table710[[#This Row],[3]]+64*Table710[[#This Row],[4]]+256*Table710[[#This Row],[5]]-IF($E$41="No",VLOOKUP(Table710[[#This Row],[Crest.Name]],$B$44:$J$79,9,FALSE))</f>
        <v>45</v>
      </c>
      <c r="K18" s="3">
        <f>+IF(Table710[[#This Row],[Total]]&lt;4,1,IF(Table710[[#This Row],[Total]]&lt;16,2,IF(Table710[[#This Row],[Total]]&lt;64,3,IF(Table710[[#This Row],[Total]]&lt;256,4,5))))</f>
        <v>3</v>
      </c>
      <c r="L18" s="214"/>
      <c r="M18" s="46">
        <f>+_xlfn.IFNA(INDEX(crests.progress[Crest.Qty],MATCH(SUM(Table710[[#This Row],[Best]]+1),crests.progress[Crest.Tier],0))-Table710[[#This Row],[Total]],0)</f>
        <v>19</v>
      </c>
      <c r="N18" s="75">
        <f>+_xlfn.IFNA(Table710[[#This Row],[Total]]/INDEX(crests.progress[Crest.Qty],MATCH(SUM(Table710[[#This Row],[Best]]+1),crests.progress[Crest.Tier],0)),1)</f>
        <v>0.703125</v>
      </c>
      <c r="O18" s="75"/>
      <c r="P18" s="276"/>
      <c r="Q18" s="92" t="s">
        <v>50</v>
      </c>
      <c r="R18" s="95" t="s">
        <v>114</v>
      </c>
      <c r="S18" s="56">
        <f t="array" ref="S18">+INDEX(crests.sets[1],MATCH(Table10[[#This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140</v>
      </c>
      <c r="T18" s="51">
        <f t="array" ref="T18">+INDEX(crests.sets[2],MATCH(Table10[[#This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5</v>
      </c>
      <c r="U18" s="51">
        <f t="array" ref="U18">+INDEX(crests.sets[3],MATCH(Table10[[#This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18" s="51">
        <f t="array" ref="V18">+INDEX(crests.sets[4],MATCH(Table10[[#This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8" s="52">
        <f t="array" ref="W18">+INDEX(crests.sets[5],MATCH(Table10[[#This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8" s="77">
        <f>+Table10[[#This Row],[1]]+4*Table10[[#This Row],[2]]+16*Table10[[#This Row],[3]]+64*Table10[[#This Row],[4]]+256*Table10[[#This Row],[5]]--IF($E$41="No",VLOOKUP(Table10[[#This Row],[Crest.Name]],$B$44:$J$79,9,FALSE))</f>
        <v>224</v>
      </c>
      <c r="Y18" s="5">
        <f>+IF(Table10[[#This Row],[Total]]=0,0,IF(Table10[[#This Row],[Total]]&lt;4,1,IF(Table10[[#This Row],[Total]]&lt;16,2,IF(Table10[[#This Row],[Total]]&lt;64,3,IF(Table10[[#This Row],[Total]]&lt;256,4,5)))))</f>
        <v>4</v>
      </c>
      <c r="Z18" s="219"/>
      <c r="AA18" s="57">
        <f>+_xlfn.IFNA(INDEX(crests.progress[Crest.Qty],MATCH(SUM(Table10[[#This Row],[Best]]+1),crests.progress[Crest.Tier],0))-Table10[[#This Row],[Total]],0)</f>
        <v>32</v>
      </c>
      <c r="AB18" s="80">
        <f>+_xlfn.IFNA(Table10[[#This Row],[Total]]/INDEX(crests.progress[Crest.Qty],MATCH(SUM(Table10[[#This Row],[Best]]+1),crests.progress[Crest.Tier],0)),1)</f>
        <v>0.875</v>
      </c>
      <c r="AC18" s="28"/>
    </row>
    <row r="19" spans="2:29" ht="15" thickBot="1" x14ac:dyDescent="0.25">
      <c r="B19" s="276"/>
      <c r="C19" s="29" t="s">
        <v>42</v>
      </c>
      <c r="D19" s="96" t="s">
        <v>115</v>
      </c>
      <c r="E19" s="60">
        <f t="array" ref="E19">+INDEX(crests.sets[1],MATCH(Table710[[#This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28</v>
      </c>
      <c r="F19" s="61">
        <f t="array" ref="F19">+INDEX(crests.sets[2],MATCH(Table710[[#This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19" s="61">
        <f t="array" ref="G19">+INDEX(crests.sets[3],MATCH(Table710[[#This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19" s="61">
        <f t="array" ref="H19">+INDEX(crests.sets[4],MATCH(Table710[[#This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19" s="62">
        <f t="array" ref="I19">+INDEX(crests.sets[5],MATCH(Table710[[#This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1</v>
      </c>
      <c r="J19" s="73">
        <f>+Table710[[#This Row],[1]]+4*Table710[[#This Row],[2]]+16*Table710[[#This Row],[3]]+64*Table710[[#This Row],[4]]+256*Table710[[#This Row],[5]]-IF($E$41="No",VLOOKUP(Table710[[#This Row],[Crest.Name]],$B$44:$J$79,9,FALSE))</f>
        <v>284</v>
      </c>
      <c r="K19" s="3">
        <f>+IF(Table710[[#This Row],[Total]]&lt;4,1,IF(Table710[[#This Row],[Total]]&lt;16,2,IF(Table710[[#This Row],[Total]]&lt;64,3,IF(Table710[[#This Row],[Total]]&lt;256,4,5))))</f>
        <v>5</v>
      </c>
      <c r="L19" s="214"/>
      <c r="M19" s="63">
        <f>+_xlfn.IFNA(INDEX(crests.progress[Crest.Qty],MATCH(SUM(Table710[[#This Row],[Best]]+1),crests.progress[Crest.Tier],0))-Table710[[#This Row],[Total]],0)</f>
        <v>0</v>
      </c>
      <c r="N19" s="75">
        <f>+_xlfn.IFNA(Table710[[#This Row],[Total]]/INDEX(crests.progress[Crest.Qty],MATCH(SUM(Table710[[#This Row],[Best]]+1),crests.progress[Crest.Tier],0)),1)</f>
        <v>1</v>
      </c>
      <c r="O19" s="75"/>
      <c r="P19" s="276"/>
      <c r="Q19" s="91" t="s">
        <v>50</v>
      </c>
      <c r="R19" s="96" t="s">
        <v>115</v>
      </c>
      <c r="S19" s="71">
        <f t="array" ref="S19">+INDEX(crests.sets[1],MATCH(Table10[[#This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93</v>
      </c>
      <c r="T19" s="64">
        <f t="array" ref="T19">+INDEX(crests.sets[2],MATCH(Table10[[#This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3</v>
      </c>
      <c r="U19" s="64">
        <f t="array" ref="U19">+INDEX(crests.sets[3],MATCH(Table10[[#This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19" s="64">
        <f t="array" ref="V19">+INDEX(crests.sets[4],MATCH(Table10[[#This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19" s="65">
        <f t="array" ref="W19">+INDEX(crests.sets[5],MATCH(Table10[[#This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19" s="77">
        <f>+Table10[[#This Row],[1]]+4*Table10[[#This Row],[2]]+16*Table10[[#This Row],[3]]+64*Table10[[#This Row],[4]]+256*Table10[[#This Row],[5]]--IF($E$41="No",VLOOKUP(Table10[[#This Row],[Crest.Name]],$B$44:$J$79,9,FALSE))</f>
        <v>185</v>
      </c>
      <c r="Y19" s="5">
        <f>+IF(Table10[[#This Row],[Total]]=0,0,IF(Table10[[#This Row],[Total]]&lt;4,1,IF(Table10[[#This Row],[Total]]&lt;16,2,IF(Table10[[#This Row],[Total]]&lt;64,3,IF(Table10[[#This Row],[Total]]&lt;256,4,5)))))</f>
        <v>4</v>
      </c>
      <c r="Z19" s="220"/>
      <c r="AA19" s="70">
        <f>+_xlfn.IFNA(INDEX(crests.progress[Crest.Qty],MATCH(SUM(Table10[[#This Row],[Best]]+1),crests.progress[Crest.Tier],0))-Table10[[#This Row],[Total]],0)</f>
        <v>71</v>
      </c>
      <c r="AB19" s="81">
        <f>+_xlfn.IFNA(Table10[[#This Row],[Total]]/INDEX(crests.progress[Crest.Qty],MATCH(SUM(Table10[[#This Row],[Best]]+1),crests.progress[Crest.Tier],0)),1)</f>
        <v>0.72265625</v>
      </c>
      <c r="AC19" s="28"/>
    </row>
    <row r="20" spans="2:29" ht="15" thickBot="1" x14ac:dyDescent="0.25">
      <c r="B20" s="276"/>
      <c r="C20" s="31" t="s">
        <v>44</v>
      </c>
      <c r="D20" s="97" t="s">
        <v>112</v>
      </c>
      <c r="E20" s="47">
        <f t="array" ref="E20">+INDEX(crests.sets[1],MATCH(Table710[[#This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41</v>
      </c>
      <c r="F20" s="48">
        <f t="array" ref="F20">+INDEX(crests.sets[2],MATCH(Table710[[#This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20" s="48">
        <f t="array" ref="G20">+INDEX(crests.sets[3],MATCH(Table710[[#This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0" s="48">
        <f t="array" ref="H20">+INDEX(crests.sets[4],MATCH(Table710[[#This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0" s="49">
        <f t="array" ref="I20">+INDEX(crests.sets[5],MATCH(Table710[[#This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0" s="74">
        <f>+Table710[[#This Row],[1]]+4*Table710[[#This Row],[2]]+16*Table710[[#This Row],[3]]+64*Table710[[#This Row],[4]]+256*Table710[[#This Row],[5]]-IF($E$41="No",VLOOKUP(Table710[[#This Row],[Crest.Name]],$B$44:$J$79,9,FALSE))</f>
        <v>41</v>
      </c>
      <c r="K20" s="4">
        <f>+IF(Table710[[#This Row],[Total]]&lt;4,1,IF(Table710[[#This Row],[Total]]&lt;16,2,IF(Table710[[#This Row],[Total]]&lt;64,3,IF(Table710[[#This Row],[Total]]&lt;256,4,5))))</f>
        <v>3</v>
      </c>
      <c r="L20" s="215"/>
      <c r="M20" s="50">
        <f>+_xlfn.IFNA(INDEX(crests.progress[Crest.Qty],MATCH(SUM(Table710[[#This Row],[Best]]+1),crests.progress[Crest.Tier],0))-Table710[[#This Row],[Total]],0)</f>
        <v>23</v>
      </c>
      <c r="N20" s="76">
        <f>+_xlfn.IFNA(Table710[[#This Row],[Total]]/INDEX(crests.progress[Crest.Qty],MATCH(SUM(Table710[[#This Row],[Best]]+1),crests.progress[Crest.Tier],0)),1)</f>
        <v>0.640625</v>
      </c>
      <c r="O20" s="217"/>
      <c r="P20" s="276"/>
      <c r="Q20" s="93" t="s">
        <v>54</v>
      </c>
      <c r="R20" s="97" t="s">
        <v>112</v>
      </c>
      <c r="S20" s="58">
        <f t="array" ref="S20">+INDEX(crests.sets[1],MATCH(Table10[[#This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23</v>
      </c>
      <c r="T20" s="53">
        <f t="array" ref="T20">+INDEX(crests.sets[2],MATCH(Table10[[#This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0" s="53">
        <f t="array" ref="U20">+INDEX(crests.sets[3],MATCH(Table10[[#This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20" s="53">
        <f t="array" ref="V20">+INDEX(crests.sets[4],MATCH(Table10[[#This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0" s="54">
        <f t="array" ref="W20">+INDEX(crests.sets[5],MATCH(Table10[[#This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0" s="78">
        <f>+Table10[[#This Row],[1]]+4*Table10[[#This Row],[2]]+16*Table10[[#This Row],[3]]+64*Table10[[#This Row],[4]]+256*Table10[[#This Row],[5]]--IF($E$41="No",VLOOKUP(Table10[[#This Row],[Crest.Name]],$B$44:$J$79,9,FALSE))</f>
        <v>167</v>
      </c>
      <c r="Y20" s="6">
        <f>+IF(Table10[[#This Row],[Total]]=0,0,IF(Table10[[#This Row],[Total]]&lt;4,1,IF(Table10[[#This Row],[Total]]&lt;16,2,IF(Table10[[#This Row],[Total]]&lt;64,3,IF(Table10[[#This Row],[Total]]&lt;256,4,5)))))</f>
        <v>4</v>
      </c>
      <c r="Z20" s="221"/>
      <c r="AA20" s="59">
        <f>+_xlfn.IFNA(INDEX(crests.progress[Crest.Qty],MATCH(SUM(Table10[[#This Row],[Best]]+1),crests.progress[Crest.Tier],0))-Table10[[#This Row],[Total]],0)</f>
        <v>89</v>
      </c>
      <c r="AB20" s="82">
        <f>+_xlfn.IFNA(Table10[[#This Row],[Total]]/INDEX(crests.progress[Crest.Qty],MATCH(SUM(Table10[[#This Row],[Best]]+1),crests.progress[Crest.Tier],0)),1)</f>
        <v>0.65234375</v>
      </c>
      <c r="AC20" s="28"/>
    </row>
    <row r="21" spans="2:29" ht="15" thickBot="1" x14ac:dyDescent="0.25">
      <c r="B21" s="276"/>
      <c r="C21" s="29" t="s">
        <v>44</v>
      </c>
      <c r="D21" s="96" t="s">
        <v>113</v>
      </c>
      <c r="E21" s="60">
        <f t="array" ref="E21">+INDEX(crests.sets[1],MATCH(Table710[[#This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43</v>
      </c>
      <c r="F21" s="61">
        <f t="array" ref="F21">+INDEX(crests.sets[2],MATCH(Table710[[#This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21" s="61">
        <f t="array" ref="G21">+INDEX(crests.sets[3],MATCH(Table710[[#This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1" s="61">
        <f t="array" ref="H21">+INDEX(crests.sets[4],MATCH(Table710[[#This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1" s="62">
        <f t="array" ref="I21">+INDEX(crests.sets[5],MATCH(Table710[[#This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1" s="73">
        <f>+Table710[[#This Row],[1]]+4*Table710[[#This Row],[2]]+16*Table710[[#This Row],[3]]+64*Table710[[#This Row],[4]]+256*Table710[[#This Row],[5]]-IF($E$41="No",VLOOKUP(Table710[[#This Row],[Crest.Name]],$B$44:$J$79,9,FALSE))</f>
        <v>43</v>
      </c>
      <c r="K21" s="3">
        <f>+IF(Table710[[#This Row],[Total]]&lt;4,1,IF(Table710[[#This Row],[Total]]&lt;16,2,IF(Table710[[#This Row],[Total]]&lt;64,3,IF(Table710[[#This Row],[Total]]&lt;256,4,5))))</f>
        <v>3</v>
      </c>
      <c r="L21" s="214"/>
      <c r="M21" s="63">
        <f>+_xlfn.IFNA(INDEX(crests.progress[Crest.Qty],MATCH(SUM(Table710[[#This Row],[Best]]+1),crests.progress[Crest.Tier],0))-Table710[[#This Row],[Total]],0)</f>
        <v>21</v>
      </c>
      <c r="N21" s="75">
        <f>+_xlfn.IFNA(Table710[[#This Row],[Total]]/INDEX(crests.progress[Crest.Qty],MATCH(SUM(Table710[[#This Row],[Best]]+1),crests.progress[Crest.Tier],0)),1)</f>
        <v>0.671875</v>
      </c>
      <c r="O21" s="75"/>
      <c r="P21" s="276"/>
      <c r="Q21" s="91" t="s">
        <v>54</v>
      </c>
      <c r="R21" s="96" t="s">
        <v>113</v>
      </c>
      <c r="S21" s="71">
        <f t="array" ref="S21">+INDEX(crests.sets[1],MATCH(Table10[[#This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36</v>
      </c>
      <c r="T21" s="64">
        <f t="array" ref="T21">+INDEX(crests.sets[2],MATCH(Table10[[#This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21" s="64">
        <f t="array" ref="U21">+INDEX(crests.sets[3],MATCH(Table10[[#This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2</v>
      </c>
      <c r="V21" s="64">
        <f t="array" ref="V21">+INDEX(crests.sets[4],MATCH(Table10[[#This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1" s="65">
        <f t="array" ref="W21">+INDEX(crests.sets[5],MATCH(Table10[[#This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1" s="77">
        <f>+Table10[[#This Row],[1]]+4*Table10[[#This Row],[2]]+16*Table10[[#This Row],[3]]+64*Table10[[#This Row],[4]]+256*Table10[[#This Row],[5]]--IF($E$41="No",VLOOKUP(Table10[[#This Row],[Crest.Name]],$B$44:$J$79,9,FALSE))</f>
        <v>200</v>
      </c>
      <c r="Y21" s="5">
        <f>+IF(Table10[[#This Row],[Total]]=0,0,IF(Table10[[#This Row],[Total]]&lt;4,1,IF(Table10[[#This Row],[Total]]&lt;16,2,IF(Table10[[#This Row],[Total]]&lt;64,3,IF(Table10[[#This Row],[Total]]&lt;256,4,5)))))</f>
        <v>4</v>
      </c>
      <c r="Z21" s="219"/>
      <c r="AA21" s="72">
        <f>+_xlfn.IFNA(INDEX(crests.progress[Crest.Qty],MATCH(SUM(Table10[[#This Row],[Best]]+1),crests.progress[Crest.Tier],0))-Table10[[#This Row],[Total]],0)</f>
        <v>56</v>
      </c>
      <c r="AB21" s="80">
        <f>+_xlfn.IFNA(Table10[[#This Row],[Total]]/INDEX(crests.progress[Crest.Qty],MATCH(SUM(Table10[[#This Row],[Best]]+1),crests.progress[Crest.Tier],0)),1)</f>
        <v>0.78125</v>
      </c>
      <c r="AC21" s="28"/>
    </row>
    <row r="22" spans="2:29" ht="15" thickBot="1" x14ac:dyDescent="0.25">
      <c r="B22" s="276"/>
      <c r="C22" s="29" t="s">
        <v>44</v>
      </c>
      <c r="D22" s="95" t="s">
        <v>114</v>
      </c>
      <c r="E22" s="43">
        <f t="array" ref="E22">+INDEX(crests.sets[1],MATCH(Table710[[#This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36</v>
      </c>
      <c r="F22" s="44">
        <f t="array" ref="F22">+INDEX(crests.sets[2],MATCH(Table710[[#This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22" s="44">
        <f t="array" ref="G22">+INDEX(crests.sets[3],MATCH(Table710[[#This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2" s="44">
        <f t="array" ref="H22">+INDEX(crests.sets[4],MATCH(Table710[[#This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2" s="45">
        <f t="array" ref="I22">+INDEX(crests.sets[5],MATCH(Table710[[#This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2" s="73">
        <f>+Table710[[#This Row],[1]]+4*Table710[[#This Row],[2]]+16*Table710[[#This Row],[3]]+64*Table710[[#This Row],[4]]+256*Table710[[#This Row],[5]]-IF($E$41="No",VLOOKUP(Table710[[#This Row],[Crest.Name]],$B$44:$J$79,9,FALSE))</f>
        <v>36</v>
      </c>
      <c r="K22" s="3">
        <f>+IF(Table710[[#This Row],[Total]]&lt;4,1,IF(Table710[[#This Row],[Total]]&lt;16,2,IF(Table710[[#This Row],[Total]]&lt;64,3,IF(Table710[[#This Row],[Total]]&lt;256,4,5))))</f>
        <v>3</v>
      </c>
      <c r="L22" s="214"/>
      <c r="M22" s="46">
        <f>+_xlfn.IFNA(INDEX(crests.progress[Crest.Qty],MATCH(SUM(Table710[[#This Row],[Best]]+1),crests.progress[Crest.Tier],0))-Table710[[#This Row],[Total]],0)</f>
        <v>28</v>
      </c>
      <c r="N22" s="75">
        <f>+_xlfn.IFNA(Table710[[#This Row],[Total]]/INDEX(crests.progress[Crest.Qty],MATCH(SUM(Table710[[#This Row],[Best]]+1),crests.progress[Crest.Tier],0)),1)</f>
        <v>0.5625</v>
      </c>
      <c r="O22" s="75"/>
      <c r="P22" s="276"/>
      <c r="Q22" s="92" t="s">
        <v>54</v>
      </c>
      <c r="R22" s="95" t="s">
        <v>114</v>
      </c>
      <c r="S22" s="56">
        <f t="array" ref="S22">+INDEX(crests.sets[1],MATCH(Table10[[#This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28</v>
      </c>
      <c r="T22" s="51">
        <f t="array" ref="T22">+INDEX(crests.sets[2],MATCH(Table10[[#This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2" s="51">
        <f t="array" ref="U22">+INDEX(crests.sets[3],MATCH(Table10[[#This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2</v>
      </c>
      <c r="V22" s="51">
        <f t="array" ref="V22">+INDEX(crests.sets[4],MATCH(Table10[[#This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2" s="52">
        <f t="array" ref="W22">+INDEX(crests.sets[5],MATCH(Table10[[#This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2" s="77">
        <f>+Table10[[#This Row],[1]]+4*Table10[[#This Row],[2]]+16*Table10[[#This Row],[3]]+64*Table10[[#This Row],[4]]+256*Table10[[#This Row],[5]]--IF($E$41="No",VLOOKUP(Table10[[#This Row],[Crest.Name]],$B$44:$J$79,9,FALSE))</f>
        <v>188</v>
      </c>
      <c r="Y22" s="5">
        <f>+IF(Table10[[#This Row],[Total]]=0,0,IF(Table10[[#This Row],[Total]]&lt;4,1,IF(Table10[[#This Row],[Total]]&lt;16,2,IF(Table10[[#This Row],[Total]]&lt;64,3,IF(Table10[[#This Row],[Total]]&lt;256,4,5)))))</f>
        <v>4</v>
      </c>
      <c r="Z22" s="219"/>
      <c r="AA22" s="57">
        <f>+_xlfn.IFNA(INDEX(crests.progress[Crest.Qty],MATCH(SUM(Table10[[#This Row],[Best]]+1),crests.progress[Crest.Tier],0))-Table10[[#This Row],[Total]],0)</f>
        <v>68</v>
      </c>
      <c r="AB22" s="80">
        <f>+_xlfn.IFNA(Table10[[#This Row],[Total]]/INDEX(crests.progress[Crest.Qty],MATCH(SUM(Table10[[#This Row],[Best]]+1),crests.progress[Crest.Tier],0)),1)</f>
        <v>0.734375</v>
      </c>
      <c r="AC22" s="28"/>
    </row>
    <row r="23" spans="2:29" ht="15" thickBot="1" x14ac:dyDescent="0.25">
      <c r="B23" s="276"/>
      <c r="C23" s="29" t="s">
        <v>44</v>
      </c>
      <c r="D23" s="96" t="s">
        <v>115</v>
      </c>
      <c r="E23" s="60">
        <f t="array" ref="E23">+INDEX(crests.sets[1],MATCH(Table710[[#This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21</v>
      </c>
      <c r="F23" s="61">
        <f t="array" ref="F23">+INDEX(crests.sets[2],MATCH(Table710[[#This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23" s="61">
        <f t="array" ref="G23">+INDEX(crests.sets[3],MATCH(Table710[[#This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3" s="61">
        <f t="array" ref="H23">+INDEX(crests.sets[4],MATCH(Table710[[#This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3" s="62">
        <f t="array" ref="I23">+INDEX(crests.sets[5],MATCH(Table710[[#This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3" s="73">
        <f>+Table710[[#This Row],[1]]+4*Table710[[#This Row],[2]]+16*Table710[[#This Row],[3]]+64*Table710[[#This Row],[4]]+256*Table710[[#This Row],[5]]-IF($E$41="No",VLOOKUP(Table710[[#This Row],[Crest.Name]],$B$44:$J$79,9,FALSE))</f>
        <v>21</v>
      </c>
      <c r="K23" s="3">
        <f>+IF(Table710[[#This Row],[Total]]&lt;4,1,IF(Table710[[#This Row],[Total]]&lt;16,2,IF(Table710[[#This Row],[Total]]&lt;64,3,IF(Table710[[#This Row],[Total]]&lt;256,4,5))))</f>
        <v>3</v>
      </c>
      <c r="L23" s="214"/>
      <c r="M23" s="63">
        <f>+_xlfn.IFNA(INDEX(crests.progress[Crest.Qty],MATCH(SUM(Table710[[#This Row],[Best]]+1),crests.progress[Crest.Tier],0))-Table710[[#This Row],[Total]],0)</f>
        <v>43</v>
      </c>
      <c r="N23" s="75">
        <f>+_xlfn.IFNA(Table710[[#This Row],[Total]]/INDEX(crests.progress[Crest.Qty],MATCH(SUM(Table710[[#This Row],[Best]]+1),crests.progress[Crest.Tier],0)),1)</f>
        <v>0.328125</v>
      </c>
      <c r="O23" s="75"/>
      <c r="P23" s="276"/>
      <c r="Q23" s="91" t="s">
        <v>54</v>
      </c>
      <c r="R23" s="96" t="s">
        <v>115</v>
      </c>
      <c r="S23" s="71">
        <f t="array" ref="S23">+INDEX(crests.sets[1],MATCH(Table10[[#This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13</v>
      </c>
      <c r="T23" s="64">
        <f t="array" ref="T23">+INDEX(crests.sets[2],MATCH(Table10[[#This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23" s="64">
        <f t="array" ref="U23">+INDEX(crests.sets[3],MATCH(Table10[[#This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23" s="64">
        <f t="array" ref="V23">+INDEX(crests.sets[4],MATCH(Table10[[#This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3" s="65">
        <f t="array" ref="W23">+INDEX(crests.sets[5],MATCH(Table10[[#This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3" s="77">
        <f>+Table10[[#This Row],[1]]+4*Table10[[#This Row],[2]]+16*Table10[[#This Row],[3]]+64*Table10[[#This Row],[4]]+256*Table10[[#This Row],[5]]--IF($E$41="No",VLOOKUP(Table10[[#This Row],[Crest.Name]],$B$44:$J$79,9,FALSE))</f>
        <v>161</v>
      </c>
      <c r="Y23" s="5">
        <f>+IF(Table10[[#This Row],[Total]]=0,0,IF(Table10[[#This Row],[Total]]&lt;4,1,IF(Table10[[#This Row],[Total]]&lt;16,2,IF(Table10[[#This Row],[Total]]&lt;64,3,IF(Table10[[#This Row],[Total]]&lt;256,4,5)))))</f>
        <v>4</v>
      </c>
      <c r="Z23" s="220"/>
      <c r="AA23" s="70">
        <f>+_xlfn.IFNA(INDEX(crests.progress[Crest.Qty],MATCH(SUM(Table10[[#This Row],[Best]]+1),crests.progress[Crest.Tier],0))-Table10[[#This Row],[Total]],0)</f>
        <v>95</v>
      </c>
      <c r="AB23" s="81">
        <f>+_xlfn.IFNA(Table10[[#This Row],[Total]]/INDEX(crests.progress[Crest.Qty],MATCH(SUM(Table10[[#This Row],[Best]]+1),crests.progress[Crest.Tier],0)),1)</f>
        <v>0.62890625</v>
      </c>
      <c r="AC23" s="28"/>
    </row>
    <row r="24" spans="2:29" ht="15" thickBot="1" x14ac:dyDescent="0.25">
      <c r="B24" s="276"/>
      <c r="C24" s="31" t="s">
        <v>22</v>
      </c>
      <c r="D24" s="97" t="s">
        <v>112</v>
      </c>
      <c r="E24" s="47">
        <f t="array" ref="E24">+INDEX(crests.sets[1],MATCH(Table710[[#This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57</v>
      </c>
      <c r="F24" s="48">
        <f t="array" ref="F24">+INDEX(crests.sets[2],MATCH(Table710[[#This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24" s="48">
        <f t="array" ref="G24">+INDEX(crests.sets[3],MATCH(Table710[[#This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24" s="48">
        <f t="array" ref="H24">+INDEX(crests.sets[4],MATCH(Table710[[#This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4" s="49">
        <f t="array" ref="I24">+INDEX(crests.sets[5],MATCH(Table710[[#This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4" s="74">
        <f>+Table710[[#This Row],[1]]+4*Table710[[#This Row],[2]]+16*Table710[[#This Row],[3]]+64*Table710[[#This Row],[4]]+256*Table710[[#This Row],[5]]-IF($E$41="No",VLOOKUP(Table710[[#This Row],[Crest.Name]],$B$44:$J$79,9,FALSE))</f>
        <v>93</v>
      </c>
      <c r="K24" s="4">
        <f>+IF(Table710[[#This Row],[Total]]&lt;4,1,IF(Table710[[#This Row],[Total]]&lt;16,2,IF(Table710[[#This Row],[Total]]&lt;64,3,IF(Table710[[#This Row],[Total]]&lt;256,4,5))))</f>
        <v>4</v>
      </c>
      <c r="L24" s="215"/>
      <c r="M24" s="50">
        <f>+_xlfn.IFNA(INDEX(crests.progress[Crest.Qty],MATCH(SUM(Table710[[#This Row],[Best]]+1),crests.progress[Crest.Tier],0))-Table710[[#This Row],[Total]],0)</f>
        <v>163</v>
      </c>
      <c r="N24" s="76">
        <f>+_xlfn.IFNA(Table710[[#This Row],[Total]]/INDEX(crests.progress[Crest.Qty],MATCH(SUM(Table710[[#This Row],[Best]]+1),crests.progress[Crest.Tier],0)),1)</f>
        <v>0.36328125</v>
      </c>
      <c r="O24" s="217"/>
      <c r="P24" s="276"/>
      <c r="Q24" s="93" t="s">
        <v>52</v>
      </c>
      <c r="R24" s="97" t="s">
        <v>112</v>
      </c>
      <c r="S24" s="58">
        <f t="array" ref="S24">+INDEX(crests.sets[1],MATCH(Table10[[#This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74</v>
      </c>
      <c r="T24" s="53">
        <f t="array" ref="T24">+INDEX(crests.sets[2],MATCH(Table10[[#This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4" s="53">
        <f t="array" ref="U24">+INDEX(crests.sets[3],MATCH(Table10[[#This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3</v>
      </c>
      <c r="V24" s="53">
        <f t="array" ref="V24">+INDEX(crests.sets[4],MATCH(Table10[[#This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4" s="54">
        <f t="array" ref="W24">+INDEX(crests.sets[5],MATCH(Table10[[#This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4" s="78">
        <f>+Table10[[#This Row],[1]]+4*Table10[[#This Row],[2]]+16*Table10[[#This Row],[3]]+64*Table10[[#This Row],[4]]+256*Table10[[#This Row],[5]]--IF($E$41="No",VLOOKUP(Table10[[#This Row],[Crest.Name]],$B$44:$J$79,9,FALSE))</f>
        <v>186</v>
      </c>
      <c r="Y24" s="6">
        <f>+IF(Table10[[#This Row],[Total]]=0,0,IF(Table10[[#This Row],[Total]]&lt;4,1,IF(Table10[[#This Row],[Total]]&lt;16,2,IF(Table10[[#This Row],[Total]]&lt;64,3,IF(Table10[[#This Row],[Total]]&lt;256,4,5)))))</f>
        <v>4</v>
      </c>
      <c r="Z24" s="221"/>
      <c r="AA24" s="59">
        <f>+_xlfn.IFNA(INDEX(crests.progress[Crest.Qty],MATCH(SUM(Table10[[#This Row],[Best]]+1),crests.progress[Crest.Tier],0))-Table10[[#This Row],[Total]],0)</f>
        <v>70</v>
      </c>
      <c r="AB24" s="82">
        <f>+_xlfn.IFNA(Table10[[#This Row],[Total]]/INDEX(crests.progress[Crest.Qty],MATCH(SUM(Table10[[#This Row],[Best]]+1),crests.progress[Crest.Tier],0)),1)</f>
        <v>0.7265625</v>
      </c>
      <c r="AC24" s="28"/>
    </row>
    <row r="25" spans="2:29" ht="15" thickBot="1" x14ac:dyDescent="0.25">
      <c r="B25" s="276"/>
      <c r="C25" s="29" t="s">
        <v>22</v>
      </c>
      <c r="D25" s="96" t="s">
        <v>113</v>
      </c>
      <c r="E25" s="60">
        <f t="array" ref="E25">+INDEX(crests.sets[1],MATCH(Table710[[#This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44</v>
      </c>
      <c r="F25" s="61">
        <f t="array" ref="F25">+INDEX(crests.sets[2],MATCH(Table710[[#This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3</v>
      </c>
      <c r="G25" s="61">
        <f t="array" ref="G25">+INDEX(crests.sets[3],MATCH(Table710[[#This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25" s="61">
        <f t="array" ref="H25">+INDEX(crests.sets[4],MATCH(Table710[[#This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5" s="62">
        <f t="array" ref="I25">+INDEX(crests.sets[5],MATCH(Table710[[#This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5" s="73">
        <f>+Table710[[#This Row],[1]]+4*Table710[[#This Row],[2]]+16*Table710[[#This Row],[3]]+64*Table710[[#This Row],[4]]+256*Table710[[#This Row],[5]]-IF($E$41="No",VLOOKUP(Table710[[#This Row],[Crest.Name]],$B$44:$J$79,9,FALSE))</f>
        <v>88</v>
      </c>
      <c r="K25" s="3">
        <f>+IF(Table710[[#This Row],[Total]]&lt;4,1,IF(Table710[[#This Row],[Total]]&lt;16,2,IF(Table710[[#This Row],[Total]]&lt;64,3,IF(Table710[[#This Row],[Total]]&lt;256,4,5))))</f>
        <v>4</v>
      </c>
      <c r="L25" s="214"/>
      <c r="M25" s="63">
        <f>+_xlfn.IFNA(INDEX(crests.progress[Crest.Qty],MATCH(SUM(Table710[[#This Row],[Best]]+1),crests.progress[Crest.Tier],0))-Table710[[#This Row],[Total]],0)</f>
        <v>168</v>
      </c>
      <c r="N25" s="75">
        <f>+_xlfn.IFNA(Table710[[#This Row],[Total]]/INDEX(crests.progress[Crest.Qty],MATCH(SUM(Table710[[#This Row],[Best]]+1),crests.progress[Crest.Tier],0)),1)</f>
        <v>0.34375</v>
      </c>
      <c r="O25" s="75"/>
      <c r="P25" s="276"/>
      <c r="Q25" s="91" t="s">
        <v>52</v>
      </c>
      <c r="R25" s="96" t="s">
        <v>113</v>
      </c>
      <c r="S25" s="71">
        <f t="array" ref="S25">+INDEX(crests.sets[1],MATCH(Table10[[#This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90</v>
      </c>
      <c r="T25" s="64">
        <f t="array" ref="T25">+INDEX(crests.sets[2],MATCH(Table10[[#This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5" s="64">
        <f t="array" ref="U25">+INDEX(crests.sets[3],MATCH(Table10[[#This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3</v>
      </c>
      <c r="V25" s="64">
        <f t="array" ref="V25">+INDEX(crests.sets[4],MATCH(Table10[[#This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5" s="65">
        <f t="array" ref="W25">+INDEX(crests.sets[5],MATCH(Table10[[#This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5" s="77">
        <f>+Table10[[#This Row],[1]]+4*Table10[[#This Row],[2]]+16*Table10[[#This Row],[3]]+64*Table10[[#This Row],[4]]+256*Table10[[#This Row],[5]]--IF($E$41="No",VLOOKUP(Table10[[#This Row],[Crest.Name]],$B$44:$J$79,9,FALSE))</f>
        <v>202</v>
      </c>
      <c r="Y25" s="5">
        <f>+IF(Table10[[#This Row],[Total]]=0,0,IF(Table10[[#This Row],[Total]]&lt;4,1,IF(Table10[[#This Row],[Total]]&lt;16,2,IF(Table10[[#This Row],[Total]]&lt;64,3,IF(Table10[[#This Row],[Total]]&lt;256,4,5)))))</f>
        <v>4</v>
      </c>
      <c r="Z25" s="219"/>
      <c r="AA25" s="72">
        <f>+_xlfn.IFNA(INDEX(crests.progress[Crest.Qty],MATCH(SUM(Table10[[#This Row],[Best]]+1),crests.progress[Crest.Tier],0))-Table10[[#This Row],[Total]],0)</f>
        <v>54</v>
      </c>
      <c r="AB25" s="80">
        <f>+_xlfn.IFNA(Table10[[#This Row],[Total]]/INDEX(crests.progress[Crest.Qty],MATCH(SUM(Table10[[#This Row],[Best]]+1),crests.progress[Crest.Tier],0)),1)</f>
        <v>0.7890625</v>
      </c>
      <c r="AC25" s="28"/>
    </row>
    <row r="26" spans="2:29" ht="15" thickBot="1" x14ac:dyDescent="0.25">
      <c r="B26" s="276"/>
      <c r="C26" s="29" t="s">
        <v>22</v>
      </c>
      <c r="D26" s="95" t="s">
        <v>114</v>
      </c>
      <c r="E26" s="43">
        <f t="array" ref="E26">+INDEX(crests.sets[1],MATCH(Table710[[#This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29</v>
      </c>
      <c r="F26" s="44">
        <f t="array" ref="F26">+INDEX(crests.sets[2],MATCH(Table710[[#This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2</v>
      </c>
      <c r="G26" s="44">
        <f t="array" ref="G26">+INDEX(crests.sets[3],MATCH(Table710[[#This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26" s="44">
        <f t="array" ref="H26">+INDEX(crests.sets[4],MATCH(Table710[[#This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6" s="45">
        <f t="array" ref="I26">+INDEX(crests.sets[5],MATCH(Table710[[#This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6" s="73">
        <f>+Table710[[#This Row],[1]]+4*Table710[[#This Row],[2]]+16*Table710[[#This Row],[3]]+64*Table710[[#This Row],[4]]+256*Table710[[#This Row],[5]]-IF($E$41="No",VLOOKUP(Table710[[#This Row],[Crest.Name]],$B$44:$J$79,9,FALSE))</f>
        <v>69</v>
      </c>
      <c r="K26" s="3">
        <f>+IF(Table710[[#This Row],[Total]]&lt;4,1,IF(Table710[[#This Row],[Total]]&lt;16,2,IF(Table710[[#This Row],[Total]]&lt;64,3,IF(Table710[[#This Row],[Total]]&lt;256,4,5))))</f>
        <v>4</v>
      </c>
      <c r="L26" s="214"/>
      <c r="M26" s="46">
        <f>+_xlfn.IFNA(INDEX(crests.progress[Crest.Qty],MATCH(SUM(Table710[[#This Row],[Best]]+1),crests.progress[Crest.Tier],0))-Table710[[#This Row],[Total]],0)</f>
        <v>187</v>
      </c>
      <c r="N26" s="75">
        <f>+_xlfn.IFNA(Table710[[#This Row],[Total]]/INDEX(crests.progress[Crest.Qty],MATCH(SUM(Table710[[#This Row],[Best]]+1),crests.progress[Crest.Tier],0)),1)</f>
        <v>0.26953125</v>
      </c>
      <c r="O26" s="75"/>
      <c r="P26" s="276"/>
      <c r="Q26" s="92" t="s">
        <v>52</v>
      </c>
      <c r="R26" s="95" t="s">
        <v>114</v>
      </c>
      <c r="S26" s="56">
        <f t="array" ref="S26">+INDEX(crests.sets[1],MATCH(Table10[[#This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115</v>
      </c>
      <c r="T26" s="51">
        <f t="array" ref="T26">+INDEX(crests.sets[2],MATCH(Table10[[#This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6" s="51">
        <f t="array" ref="U26">+INDEX(crests.sets[3],MATCH(Table10[[#This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3</v>
      </c>
      <c r="V26" s="51">
        <f t="array" ref="V26">+INDEX(crests.sets[4],MATCH(Table10[[#This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6" s="52">
        <f t="array" ref="W26">+INDEX(crests.sets[5],MATCH(Table10[[#This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6" s="77">
        <f>+Table10[[#This Row],[1]]+4*Table10[[#This Row],[2]]+16*Table10[[#This Row],[3]]+64*Table10[[#This Row],[4]]+256*Table10[[#This Row],[5]]--IF($E$41="No",VLOOKUP(Table10[[#This Row],[Crest.Name]],$B$44:$J$79,9,FALSE))</f>
        <v>227</v>
      </c>
      <c r="Y26" s="5">
        <f>+IF(Table10[[#This Row],[Total]]=0,0,IF(Table10[[#This Row],[Total]]&lt;4,1,IF(Table10[[#This Row],[Total]]&lt;16,2,IF(Table10[[#This Row],[Total]]&lt;64,3,IF(Table10[[#This Row],[Total]]&lt;256,4,5)))))</f>
        <v>4</v>
      </c>
      <c r="Z26" s="219"/>
      <c r="AA26" s="57">
        <f>+_xlfn.IFNA(INDEX(crests.progress[Crest.Qty],MATCH(SUM(Table10[[#This Row],[Best]]+1),crests.progress[Crest.Tier],0))-Table10[[#This Row],[Total]],0)</f>
        <v>29</v>
      </c>
      <c r="AB26" s="80">
        <f>+_xlfn.IFNA(Table10[[#This Row],[Total]]/INDEX(crests.progress[Crest.Qty],MATCH(SUM(Table10[[#This Row],[Best]]+1),crests.progress[Crest.Tier],0)),1)</f>
        <v>0.88671875</v>
      </c>
      <c r="AC26" s="28"/>
    </row>
    <row r="27" spans="2:29" ht="15" thickBot="1" x14ac:dyDescent="0.25">
      <c r="B27" s="276"/>
      <c r="C27" s="29" t="s">
        <v>22</v>
      </c>
      <c r="D27" s="96" t="s">
        <v>115</v>
      </c>
      <c r="E27" s="60">
        <f t="array" ref="E27">+INDEX(crests.sets[1],MATCH(Table710[[#This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45</v>
      </c>
      <c r="F27" s="61">
        <f t="array" ref="F27">+INDEX(crests.sets[2],MATCH(Table710[[#This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27" s="61">
        <f t="array" ref="G27">+INDEX(crests.sets[3],MATCH(Table710[[#This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27" s="61">
        <f t="array" ref="H27">+INDEX(crests.sets[4],MATCH(Table710[[#This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7" s="62">
        <f t="array" ref="I27">+INDEX(crests.sets[5],MATCH(Table710[[#This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7" s="73">
        <f>+Table710[[#This Row],[1]]+4*Table710[[#This Row],[2]]+16*Table710[[#This Row],[3]]+64*Table710[[#This Row],[4]]+256*Table710[[#This Row],[5]]-IF($E$41="No",VLOOKUP(Table710[[#This Row],[Crest.Name]],$B$44:$J$79,9,FALSE))</f>
        <v>77</v>
      </c>
      <c r="K27" s="3">
        <f>+IF(Table710[[#This Row],[Total]]&lt;4,1,IF(Table710[[#This Row],[Total]]&lt;16,2,IF(Table710[[#This Row],[Total]]&lt;64,3,IF(Table710[[#This Row],[Total]]&lt;256,4,5))))</f>
        <v>4</v>
      </c>
      <c r="L27" s="214"/>
      <c r="M27" s="63">
        <f>+_xlfn.IFNA(INDEX(crests.progress[Crest.Qty],MATCH(SUM(Table710[[#This Row],[Best]]+1),crests.progress[Crest.Tier],0))-Table710[[#This Row],[Total]],0)</f>
        <v>179</v>
      </c>
      <c r="N27" s="75">
        <f>+_xlfn.IFNA(Table710[[#This Row],[Total]]/INDEX(crests.progress[Crest.Qty],MATCH(SUM(Table710[[#This Row],[Best]]+1),crests.progress[Crest.Tier],0)),1)</f>
        <v>0.30078125</v>
      </c>
      <c r="O27" s="75"/>
      <c r="P27" s="276"/>
      <c r="Q27" s="91" t="s">
        <v>52</v>
      </c>
      <c r="R27" s="96" t="s">
        <v>115</v>
      </c>
      <c r="S27" s="71">
        <f t="array" ref="S27">+INDEX(crests.sets[1],MATCH(Table10[[#This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64</v>
      </c>
      <c r="T27" s="64">
        <f t="array" ref="T27">+INDEX(crests.sets[2],MATCH(Table10[[#This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2</v>
      </c>
      <c r="U27" s="64">
        <f t="array" ref="U27">+INDEX(crests.sets[3],MATCH(Table10[[#This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3</v>
      </c>
      <c r="V27" s="64">
        <f t="array" ref="V27">+INDEX(crests.sets[4],MATCH(Table10[[#This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7" s="65">
        <f t="array" ref="W27">+INDEX(crests.sets[5],MATCH(Table10[[#This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7" s="77">
        <f>+Table10[[#This Row],[1]]+4*Table10[[#This Row],[2]]+16*Table10[[#This Row],[3]]+64*Table10[[#This Row],[4]]+256*Table10[[#This Row],[5]]--IF($E$41="No",VLOOKUP(Table10[[#This Row],[Crest.Name]],$B$44:$J$79,9,FALSE))</f>
        <v>184</v>
      </c>
      <c r="Y27" s="5">
        <f>+IF(Table10[[#This Row],[Total]]=0,0,IF(Table10[[#This Row],[Total]]&lt;4,1,IF(Table10[[#This Row],[Total]]&lt;16,2,IF(Table10[[#This Row],[Total]]&lt;64,3,IF(Table10[[#This Row],[Total]]&lt;256,4,5)))))</f>
        <v>4</v>
      </c>
      <c r="Z27" s="220"/>
      <c r="AA27" s="70">
        <f>+_xlfn.IFNA(INDEX(crests.progress[Crest.Qty],MATCH(SUM(Table10[[#This Row],[Best]]+1),crests.progress[Crest.Tier],0))-Table10[[#This Row],[Total]],0)</f>
        <v>72</v>
      </c>
      <c r="AB27" s="81">
        <f>+_xlfn.IFNA(Table10[[#This Row],[Total]]/INDEX(crests.progress[Crest.Qty],MATCH(SUM(Table10[[#This Row],[Best]]+1),crests.progress[Crest.Tier],0)),1)</f>
        <v>0.71875</v>
      </c>
      <c r="AC27" s="28"/>
    </row>
    <row r="28" spans="2:29" ht="15" thickBot="1" x14ac:dyDescent="0.25">
      <c r="B28" s="276"/>
      <c r="C28" s="31" t="s">
        <v>26</v>
      </c>
      <c r="D28" s="97" t="s">
        <v>112</v>
      </c>
      <c r="E28" s="47">
        <f t="array" ref="E28">+INDEX(crests.sets[1],MATCH(Table710[[#This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145</v>
      </c>
      <c r="F28" s="48">
        <f t="array" ref="F28">+INDEX(crests.sets[2],MATCH(Table710[[#This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3</v>
      </c>
      <c r="G28" s="48">
        <f t="array" ref="G28">+INDEX(crests.sets[3],MATCH(Table710[[#This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8" s="48">
        <f t="array" ref="H28">+INDEX(crests.sets[4],MATCH(Table710[[#This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28" s="49">
        <f t="array" ref="I28">+INDEX(crests.sets[5],MATCH(Table710[[#This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8" s="74">
        <f>+Table710[[#This Row],[1]]+4*Table710[[#This Row],[2]]+16*Table710[[#This Row],[3]]+64*Table710[[#This Row],[4]]+256*Table710[[#This Row],[5]]-IF($E$41="No",VLOOKUP(Table710[[#This Row],[Crest.Name]],$B$44:$J$79,9,FALSE))</f>
        <v>157</v>
      </c>
      <c r="K28" s="4">
        <f>+IF(Table710[[#This Row],[Total]]&lt;4,1,IF(Table710[[#This Row],[Total]]&lt;16,2,IF(Table710[[#This Row],[Total]]&lt;64,3,IF(Table710[[#This Row],[Total]]&lt;256,4,5))))</f>
        <v>4</v>
      </c>
      <c r="L28" s="215"/>
      <c r="M28" s="50">
        <f>+_xlfn.IFNA(INDEX(crests.progress[Crest.Qty],MATCH(SUM(Table710[[#This Row],[Best]]+1),crests.progress[Crest.Tier],0))-Table710[[#This Row],[Total]],0)</f>
        <v>99</v>
      </c>
      <c r="N28" s="76">
        <f>+_xlfn.IFNA(Table710[[#This Row],[Total]]/INDEX(crests.progress[Crest.Qty],MATCH(SUM(Table710[[#This Row],[Best]]+1),crests.progress[Crest.Tier],0)),1)</f>
        <v>0.61328125</v>
      </c>
      <c r="O28" s="217"/>
      <c r="P28" s="276"/>
      <c r="Q28" s="93" t="s">
        <v>32</v>
      </c>
      <c r="R28" s="97" t="s">
        <v>112</v>
      </c>
      <c r="S28" s="58">
        <f t="array" ref="S28">+INDEX(crests.sets[1],MATCH(Table10[[#This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18</v>
      </c>
      <c r="T28" s="53">
        <f t="array" ref="T28">+INDEX(crests.sets[2],MATCH(Table10[[#This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28" s="53">
        <f t="array" ref="U28">+INDEX(crests.sets[3],MATCH(Table10[[#This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28" s="53">
        <f t="array" ref="V28">+INDEX(crests.sets[4],MATCH(Table10[[#This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8" s="54">
        <f t="array" ref="W28">+INDEX(crests.sets[5],MATCH(Table10[[#This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8" s="78">
        <f>+Table10[[#This Row],[1]]+4*Table10[[#This Row],[2]]+16*Table10[[#This Row],[3]]+64*Table10[[#This Row],[4]]+256*Table10[[#This Row],[5]]--IF($E$41="No",VLOOKUP(Table10[[#This Row],[Crest.Name]],$B$44:$J$79,9,FALSE))</f>
        <v>146</v>
      </c>
      <c r="Y28" s="6">
        <f>+IF(Table10[[#This Row],[Total]]=0,0,IF(Table10[[#This Row],[Total]]&lt;4,1,IF(Table10[[#This Row],[Total]]&lt;16,2,IF(Table10[[#This Row],[Total]]&lt;64,3,IF(Table10[[#This Row],[Total]]&lt;256,4,5)))))</f>
        <v>4</v>
      </c>
      <c r="Z28" s="221"/>
      <c r="AA28" s="59">
        <f>+_xlfn.IFNA(INDEX(crests.progress[Crest.Qty],MATCH(SUM(Table10[[#This Row],[Best]]+1),crests.progress[Crest.Tier],0))-Table10[[#This Row],[Total]],0)</f>
        <v>110</v>
      </c>
      <c r="AB28" s="82">
        <f>+_xlfn.IFNA(Table10[[#This Row],[Total]]/INDEX(crests.progress[Crest.Qty],MATCH(SUM(Table10[[#This Row],[Best]]+1),crests.progress[Crest.Tier],0)),1)</f>
        <v>0.5703125</v>
      </c>
      <c r="AC28" s="28"/>
    </row>
    <row r="29" spans="2:29" ht="15" thickBot="1" x14ac:dyDescent="0.25">
      <c r="B29" s="276"/>
      <c r="C29" s="29" t="s">
        <v>26</v>
      </c>
      <c r="D29" s="96" t="s">
        <v>113</v>
      </c>
      <c r="E29" s="60">
        <f t="array" ref="E29">+INDEX(crests.sets[1],MATCH(Table710[[#This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137</v>
      </c>
      <c r="F29" s="61">
        <f t="array" ref="F29">+INDEX(crests.sets[2],MATCH(Table710[[#This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3</v>
      </c>
      <c r="G29" s="61">
        <f t="array" ref="G29">+INDEX(crests.sets[3],MATCH(Table710[[#This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29" s="61">
        <f t="array" ref="H29">+INDEX(crests.sets[4],MATCH(Table710[[#This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29" s="62">
        <f t="array" ref="I29">+INDEX(crests.sets[5],MATCH(Table710[[#This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29" s="73">
        <f>+Table710[[#This Row],[1]]+4*Table710[[#This Row],[2]]+16*Table710[[#This Row],[3]]+64*Table710[[#This Row],[4]]+256*Table710[[#This Row],[5]]-IF($E$41="No",VLOOKUP(Table710[[#This Row],[Crest.Name]],$B$44:$J$79,9,FALSE))</f>
        <v>213</v>
      </c>
      <c r="K29" s="3">
        <f>+IF(Table710[[#This Row],[Total]]&lt;4,1,IF(Table710[[#This Row],[Total]]&lt;16,2,IF(Table710[[#This Row],[Total]]&lt;64,3,IF(Table710[[#This Row],[Total]]&lt;256,4,5))))</f>
        <v>4</v>
      </c>
      <c r="L29" s="214"/>
      <c r="M29" s="63">
        <f>+_xlfn.IFNA(INDEX(crests.progress[Crest.Qty],MATCH(SUM(Table710[[#This Row],[Best]]+1),crests.progress[Crest.Tier],0))-Table710[[#This Row],[Total]],0)</f>
        <v>43</v>
      </c>
      <c r="N29" s="75">
        <f>+_xlfn.IFNA(Table710[[#This Row],[Total]]/INDEX(crests.progress[Crest.Qty],MATCH(SUM(Table710[[#This Row],[Best]]+1),crests.progress[Crest.Tier],0)),1)</f>
        <v>0.83203125</v>
      </c>
      <c r="O29" s="75"/>
      <c r="P29" s="276"/>
      <c r="Q29" s="91" t="s">
        <v>32</v>
      </c>
      <c r="R29" s="96" t="s">
        <v>113</v>
      </c>
      <c r="S29" s="71">
        <f t="array" ref="S29">+INDEX(crests.sets[1],MATCH(Table10[[#This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10</v>
      </c>
      <c r="T29" s="64">
        <f t="array" ref="T29">+INDEX(crests.sets[2],MATCH(Table10[[#This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29" s="64">
        <f t="array" ref="U29">+INDEX(crests.sets[3],MATCH(Table10[[#This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29" s="64">
        <f t="array" ref="V29">+INDEX(crests.sets[4],MATCH(Table10[[#This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29" s="65">
        <f t="array" ref="W29">+INDEX(crests.sets[5],MATCH(Table10[[#This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29" s="77">
        <f>+Table10[[#This Row],[1]]+4*Table10[[#This Row],[2]]+16*Table10[[#This Row],[3]]+64*Table10[[#This Row],[4]]+256*Table10[[#This Row],[5]]--IF($E$41="No",VLOOKUP(Table10[[#This Row],[Crest.Name]],$B$44:$J$79,9,FALSE))</f>
        <v>142</v>
      </c>
      <c r="Y29" s="5">
        <f>+IF(Table10[[#This Row],[Total]]=0,0,IF(Table10[[#This Row],[Total]]&lt;4,1,IF(Table10[[#This Row],[Total]]&lt;16,2,IF(Table10[[#This Row],[Total]]&lt;64,3,IF(Table10[[#This Row],[Total]]&lt;256,4,5)))))</f>
        <v>4</v>
      </c>
      <c r="Z29" s="219"/>
      <c r="AA29" s="72">
        <f>+_xlfn.IFNA(INDEX(crests.progress[Crest.Qty],MATCH(SUM(Table10[[#This Row],[Best]]+1),crests.progress[Crest.Tier],0))-Table10[[#This Row],[Total]],0)</f>
        <v>114</v>
      </c>
      <c r="AB29" s="80">
        <f>+_xlfn.IFNA(Table10[[#This Row],[Total]]/INDEX(crests.progress[Crest.Qty],MATCH(SUM(Table10[[#This Row],[Best]]+1),crests.progress[Crest.Tier],0)),1)</f>
        <v>0.5546875</v>
      </c>
      <c r="AC29" s="28"/>
    </row>
    <row r="30" spans="2:29" ht="15" thickBot="1" x14ac:dyDescent="0.25">
      <c r="B30" s="276"/>
      <c r="C30" s="29" t="s">
        <v>26</v>
      </c>
      <c r="D30" s="95" t="s">
        <v>114</v>
      </c>
      <c r="E30" s="43">
        <f t="array" ref="E30">+INDEX(crests.sets[1],MATCH(Table710[[#This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131</v>
      </c>
      <c r="F30" s="44">
        <f t="array" ref="F30">+INDEX(crests.sets[2],MATCH(Table710[[#This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30" s="44">
        <f t="array" ref="G30">+INDEX(crests.sets[3],MATCH(Table710[[#This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30" s="44">
        <f t="array" ref="H30">+INDEX(crests.sets[4],MATCH(Table710[[#This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0" s="45">
        <f t="array" ref="I30">+INDEX(crests.sets[5],MATCH(Table710[[#This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0" s="73">
        <f>+Table710[[#This Row],[1]]+4*Table710[[#This Row],[2]]+16*Table710[[#This Row],[3]]+64*Table710[[#This Row],[4]]+256*Table710[[#This Row],[5]]-IF($E$41="No",VLOOKUP(Table710[[#This Row],[Crest.Name]],$B$44:$J$79,9,FALSE))</f>
        <v>135</v>
      </c>
      <c r="K30" s="3">
        <f>+IF(Table710[[#This Row],[Total]]&lt;4,1,IF(Table710[[#This Row],[Total]]&lt;16,2,IF(Table710[[#This Row],[Total]]&lt;64,3,IF(Table710[[#This Row],[Total]]&lt;256,4,5))))</f>
        <v>4</v>
      </c>
      <c r="L30" s="214"/>
      <c r="M30" s="46">
        <f>+_xlfn.IFNA(INDEX(crests.progress[Crest.Qty],MATCH(SUM(Table710[[#This Row],[Best]]+1),crests.progress[Crest.Tier],0))-Table710[[#This Row],[Total]],0)</f>
        <v>121</v>
      </c>
      <c r="N30" s="75">
        <f>+_xlfn.IFNA(Table710[[#This Row],[Total]]/INDEX(crests.progress[Crest.Qty],MATCH(SUM(Table710[[#This Row],[Best]]+1),crests.progress[Crest.Tier],0)),1)</f>
        <v>0.52734375</v>
      </c>
      <c r="O30" s="75"/>
      <c r="P30" s="276"/>
      <c r="Q30" s="92" t="s">
        <v>32</v>
      </c>
      <c r="R30" s="95" t="s">
        <v>114</v>
      </c>
      <c r="S30" s="56">
        <f t="array" ref="S30">+INDEX(crests.sets[1],MATCH(Table10[[#This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25</v>
      </c>
      <c r="T30" s="51">
        <f t="array" ref="T30">+INDEX(crests.sets[2],MATCH(Table10[[#This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30" s="51">
        <f t="array" ref="U30">+INDEX(crests.sets[3],MATCH(Table10[[#This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0" s="51">
        <f t="array" ref="V30">+INDEX(crests.sets[4],MATCH(Table10[[#This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30" s="52">
        <f t="array" ref="W30">+INDEX(crests.sets[5],MATCH(Table10[[#This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0" s="77">
        <f>+Table10[[#This Row],[1]]+4*Table10[[#This Row],[2]]+16*Table10[[#This Row],[3]]+64*Table10[[#This Row],[4]]+256*Table10[[#This Row],[5]]--IF($E$41="No",VLOOKUP(Table10[[#This Row],[Crest.Name]],$B$44:$J$79,9,FALSE))</f>
        <v>153</v>
      </c>
      <c r="Y30" s="5">
        <f>+IF(Table10[[#This Row],[Total]]=0,0,IF(Table10[[#This Row],[Total]]&lt;4,1,IF(Table10[[#This Row],[Total]]&lt;16,2,IF(Table10[[#This Row],[Total]]&lt;64,3,IF(Table10[[#This Row],[Total]]&lt;256,4,5)))))</f>
        <v>4</v>
      </c>
      <c r="Z30" s="219"/>
      <c r="AA30" s="57">
        <f>+_xlfn.IFNA(INDEX(crests.progress[Crest.Qty],MATCH(SUM(Table10[[#This Row],[Best]]+1),crests.progress[Crest.Tier],0))-Table10[[#This Row],[Total]],0)</f>
        <v>103</v>
      </c>
      <c r="AB30" s="80">
        <f>+_xlfn.IFNA(Table10[[#This Row],[Total]]/INDEX(crests.progress[Crest.Qty],MATCH(SUM(Table10[[#This Row],[Best]]+1),crests.progress[Crest.Tier],0)),1)</f>
        <v>0.59765625</v>
      </c>
      <c r="AC30" s="28"/>
    </row>
    <row r="31" spans="2:29" ht="15" thickBot="1" x14ac:dyDescent="0.25">
      <c r="B31" s="276"/>
      <c r="C31" s="29" t="s">
        <v>26</v>
      </c>
      <c r="D31" s="96" t="s">
        <v>115</v>
      </c>
      <c r="E31" s="60">
        <f t="array" ref="E31">+INDEX(crests.sets[1],MATCH(Table710[[#This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106</v>
      </c>
      <c r="F31" s="61">
        <f t="array" ref="F31">+INDEX(crests.sets[2],MATCH(Table710[[#This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31" s="61">
        <f t="array" ref="G31">+INDEX(crests.sets[3],MATCH(Table710[[#This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0</v>
      </c>
      <c r="H31" s="61">
        <f t="array" ref="H31">+INDEX(crests.sets[4],MATCH(Table710[[#This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1" s="62">
        <f t="array" ref="I31">+INDEX(crests.sets[5],MATCH(Table710[[#This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1" s="73">
        <f>+Table710[[#This Row],[1]]+4*Table710[[#This Row],[2]]+16*Table710[[#This Row],[3]]+64*Table710[[#This Row],[4]]+256*Table710[[#This Row],[5]]-IF($E$41="No",VLOOKUP(Table710[[#This Row],[Crest.Name]],$B$44:$J$79,9,FALSE))</f>
        <v>106</v>
      </c>
      <c r="K31" s="3">
        <f>+IF(Table710[[#This Row],[Total]]&lt;4,1,IF(Table710[[#This Row],[Total]]&lt;16,2,IF(Table710[[#This Row],[Total]]&lt;64,3,IF(Table710[[#This Row],[Total]]&lt;256,4,5))))</f>
        <v>4</v>
      </c>
      <c r="L31" s="214"/>
      <c r="M31" s="63">
        <f>+_xlfn.IFNA(INDEX(crests.progress[Crest.Qty],MATCH(SUM(Table710[[#This Row],[Best]]+1),crests.progress[Crest.Tier],0))-Table710[[#This Row],[Total]],0)</f>
        <v>150</v>
      </c>
      <c r="N31" s="75">
        <f>+_xlfn.IFNA(Table710[[#This Row],[Total]]/INDEX(crests.progress[Crest.Qty],MATCH(SUM(Table710[[#This Row],[Best]]+1),crests.progress[Crest.Tier],0)),1)</f>
        <v>0.4140625</v>
      </c>
      <c r="O31" s="75"/>
      <c r="P31" s="276"/>
      <c r="Q31" s="91" t="s">
        <v>32</v>
      </c>
      <c r="R31" s="96" t="s">
        <v>115</v>
      </c>
      <c r="S31" s="71">
        <f t="array" ref="S31">+INDEX(crests.sets[1],MATCH(Table10[[#This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9</v>
      </c>
      <c r="T31" s="64">
        <f t="array" ref="T31">+INDEX(crests.sets[2],MATCH(Table10[[#This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31" s="64">
        <f t="array" ref="U31">+INDEX(crests.sets[3],MATCH(Table10[[#This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1" s="64">
        <f t="array" ref="V31">+INDEX(crests.sets[4],MATCH(Table10[[#This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31" s="65">
        <f t="array" ref="W31">+INDEX(crests.sets[5],MATCH(Table10[[#This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1" s="77">
        <f>+Table10[[#This Row],[1]]+4*Table10[[#This Row],[2]]+16*Table10[[#This Row],[3]]+64*Table10[[#This Row],[4]]+256*Table10[[#This Row],[5]]--IF($E$41="No",VLOOKUP(Table10[[#This Row],[Crest.Name]],$B$44:$J$79,9,FALSE))</f>
        <v>141</v>
      </c>
      <c r="Y31" s="5">
        <f>+IF(Table10[[#This Row],[Total]]=0,0,IF(Table10[[#This Row],[Total]]&lt;4,1,IF(Table10[[#This Row],[Total]]&lt;16,2,IF(Table10[[#This Row],[Total]]&lt;64,3,IF(Table10[[#This Row],[Total]]&lt;256,4,5)))))</f>
        <v>4</v>
      </c>
      <c r="Z31" s="220"/>
      <c r="AA31" s="70">
        <f>+_xlfn.IFNA(INDEX(crests.progress[Crest.Qty],MATCH(SUM(Table10[[#This Row],[Best]]+1),crests.progress[Crest.Tier],0))-Table10[[#This Row],[Total]],0)</f>
        <v>115</v>
      </c>
      <c r="AB31" s="81">
        <f>+_xlfn.IFNA(Table10[[#This Row],[Total]]/INDEX(crests.progress[Crest.Qty],MATCH(SUM(Table10[[#This Row],[Best]]+1),crests.progress[Crest.Tier],0)),1)</f>
        <v>0.55078125</v>
      </c>
      <c r="AC31" s="28"/>
    </row>
    <row r="32" spans="2:29" ht="15" thickBot="1" x14ac:dyDescent="0.25">
      <c r="B32" s="276"/>
      <c r="C32" s="31" t="s">
        <v>13</v>
      </c>
      <c r="D32" s="97" t="s">
        <v>112</v>
      </c>
      <c r="E32" s="47">
        <f t="array" ref="E32">+INDEX(crests.sets[1],MATCH(Table710[[#This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156</v>
      </c>
      <c r="F32" s="48">
        <f t="array" ref="F32">+INDEX(crests.sets[2],MATCH(Table710[[#This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32" s="48">
        <f t="array" ref="G32">+INDEX(crests.sets[3],MATCH(Table710[[#This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2</v>
      </c>
      <c r="H32" s="48">
        <f t="array" ref="H32">+INDEX(crests.sets[4],MATCH(Table710[[#This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2" s="49">
        <f t="array" ref="I32">+INDEX(crests.sets[5],MATCH(Table710[[#This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2" s="74">
        <f>+Table710[[#This Row],[1]]+4*Table710[[#This Row],[2]]+16*Table710[[#This Row],[3]]+64*Table710[[#This Row],[4]]+256*Table710[[#This Row],[5]]-IF($E$41="No",VLOOKUP(Table710[[#This Row],[Crest.Name]],$B$44:$J$79,9,FALSE))</f>
        <v>188</v>
      </c>
      <c r="K32" s="4">
        <f>+IF(Table710[[#This Row],[Total]]&lt;4,1,IF(Table710[[#This Row],[Total]]&lt;16,2,IF(Table710[[#This Row],[Total]]&lt;64,3,IF(Table710[[#This Row],[Total]]&lt;256,4,5))))</f>
        <v>4</v>
      </c>
      <c r="L32" s="215"/>
      <c r="M32" s="50">
        <f>+_xlfn.IFNA(INDEX(crests.progress[Crest.Qty],MATCH(SUM(Table710[[#This Row],[Best]]+1),crests.progress[Crest.Tier],0))-Table710[[#This Row],[Total]],0)</f>
        <v>68</v>
      </c>
      <c r="N32" s="76">
        <f>+_xlfn.IFNA(Table710[[#This Row],[Total]]/INDEX(crests.progress[Crest.Qty],MATCH(SUM(Table710[[#This Row],[Best]]+1),crests.progress[Crest.Tier],0)),1)</f>
        <v>0.734375</v>
      </c>
      <c r="O32" s="217"/>
      <c r="P32" s="276"/>
      <c r="Q32" s="93" t="s">
        <v>16</v>
      </c>
      <c r="R32" s="97" t="s">
        <v>112</v>
      </c>
      <c r="S32" s="58">
        <f t="array" ref="S32">+INDEX(crests.sets[1],MATCH(Table10[[#This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21</v>
      </c>
      <c r="T32" s="53">
        <f t="array" ref="T32">+INDEX(crests.sets[2],MATCH(Table10[[#This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32" s="53">
        <f t="array" ref="U32">+INDEX(crests.sets[3],MATCH(Table10[[#This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32" s="53">
        <f t="array" ref="V32">+INDEX(crests.sets[4],MATCH(Table10[[#This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32" s="54">
        <f t="array" ref="W32">+INDEX(crests.sets[5],MATCH(Table10[[#This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2" s="78">
        <f>+Table10[[#This Row],[1]]+4*Table10[[#This Row],[2]]+16*Table10[[#This Row],[3]]+64*Table10[[#This Row],[4]]+256*Table10[[#This Row],[5]]--IF($E$41="No",VLOOKUP(Table10[[#This Row],[Crest.Name]],$B$44:$J$79,9,FALSE))</f>
        <v>169</v>
      </c>
      <c r="Y32" s="6">
        <f>+IF(Table10[[#This Row],[Total]]=0,0,IF(Table10[[#This Row],[Total]]&lt;4,1,IF(Table10[[#This Row],[Total]]&lt;16,2,IF(Table10[[#This Row],[Total]]&lt;64,3,IF(Table10[[#This Row],[Total]]&lt;256,4,5)))))</f>
        <v>4</v>
      </c>
      <c r="Z32" s="221"/>
      <c r="AA32" s="59">
        <f>+_xlfn.IFNA(INDEX(crests.progress[Crest.Qty],MATCH(SUM(Table10[[#This Row],[Best]]+1),crests.progress[Crest.Tier],0))-Table10[[#This Row],[Total]],0)</f>
        <v>87</v>
      </c>
      <c r="AB32" s="82">
        <f>+_xlfn.IFNA(Table10[[#This Row],[Total]]/INDEX(crests.progress[Crest.Qty],MATCH(SUM(Table10[[#This Row],[Best]]+1),crests.progress[Crest.Tier],0)),1)</f>
        <v>0.66015625</v>
      </c>
      <c r="AC32" s="28"/>
    </row>
    <row r="33" spans="2:29" ht="15" thickBot="1" x14ac:dyDescent="0.25">
      <c r="B33" s="276"/>
      <c r="C33" s="29" t="s">
        <v>13</v>
      </c>
      <c r="D33" s="96" t="s">
        <v>113</v>
      </c>
      <c r="E33" s="60">
        <f t="array" ref="E33">+INDEX(crests.sets[1],MATCH(Table710[[#This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135</v>
      </c>
      <c r="F33" s="61">
        <f t="array" ref="F33">+INDEX(crests.sets[2],MATCH(Table710[[#This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2</v>
      </c>
      <c r="G33" s="61">
        <f t="array" ref="G33">+INDEX(crests.sets[3],MATCH(Table710[[#This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3" s="61">
        <f t="array" ref="H33">+INDEX(crests.sets[4],MATCH(Table710[[#This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3" s="62">
        <f t="array" ref="I33">+INDEX(crests.sets[5],MATCH(Table710[[#This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3" s="73">
        <f>+Table710[[#This Row],[1]]+4*Table710[[#This Row],[2]]+16*Table710[[#This Row],[3]]+64*Table710[[#This Row],[4]]+256*Table710[[#This Row],[5]]-IF($E$41="No",VLOOKUP(Table710[[#This Row],[Crest.Name]],$B$44:$J$79,9,FALSE))</f>
        <v>159</v>
      </c>
      <c r="K33" s="3">
        <f>+IF(Table710[[#This Row],[Total]]&lt;4,1,IF(Table710[[#This Row],[Total]]&lt;16,2,IF(Table710[[#This Row],[Total]]&lt;64,3,IF(Table710[[#This Row],[Total]]&lt;256,4,5))))</f>
        <v>4</v>
      </c>
      <c r="L33" s="214"/>
      <c r="M33" s="63">
        <f>+_xlfn.IFNA(INDEX(crests.progress[Crest.Qty],MATCH(SUM(Table710[[#This Row],[Best]]+1),crests.progress[Crest.Tier],0))-Table710[[#This Row],[Total]],0)</f>
        <v>97</v>
      </c>
      <c r="N33" s="75">
        <f>+_xlfn.IFNA(Table710[[#This Row],[Total]]/INDEX(crests.progress[Crest.Qty],MATCH(SUM(Table710[[#This Row],[Best]]+1),crests.progress[Crest.Tier],0)),1)</f>
        <v>0.62109375</v>
      </c>
      <c r="O33" s="75"/>
      <c r="P33" s="276"/>
      <c r="Q33" s="91" t="s">
        <v>16</v>
      </c>
      <c r="R33" s="96" t="s">
        <v>113</v>
      </c>
      <c r="S33" s="71">
        <f t="array" ref="S33">+INDEX(crests.sets[1],MATCH(Table10[[#This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37</v>
      </c>
      <c r="T33" s="64">
        <f t="array" ref="T33">+INDEX(crests.sets[2],MATCH(Table10[[#This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4</v>
      </c>
      <c r="U33" s="64">
        <f t="array" ref="U33">+INDEX(crests.sets[3],MATCH(Table10[[#This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33" s="64">
        <f t="array" ref="V33">+INDEX(crests.sets[4],MATCH(Table10[[#This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2</v>
      </c>
      <c r="W33" s="65">
        <f t="array" ref="W33">+INDEX(crests.sets[5],MATCH(Table10[[#This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3" s="77">
        <f>+Table10[[#This Row],[1]]+4*Table10[[#This Row],[2]]+16*Table10[[#This Row],[3]]+64*Table10[[#This Row],[4]]+256*Table10[[#This Row],[5]]--IF($E$41="No",VLOOKUP(Table10[[#This Row],[Crest.Name]],$B$44:$J$79,9,FALSE))</f>
        <v>261</v>
      </c>
      <c r="Y33" s="5">
        <f>+IF(Table10[[#This Row],[Total]]=0,0,IF(Table10[[#This Row],[Total]]&lt;4,1,IF(Table10[[#This Row],[Total]]&lt;16,2,IF(Table10[[#This Row],[Total]]&lt;64,3,IF(Table10[[#This Row],[Total]]&lt;256,4,5)))))</f>
        <v>5</v>
      </c>
      <c r="Z33" s="219"/>
      <c r="AA33" s="72">
        <f>+_xlfn.IFNA(INDEX(crests.progress[Crest.Qty],MATCH(SUM(Table10[[#This Row],[Best]]+1),crests.progress[Crest.Tier],0))-Table10[[#This Row],[Total]],0)</f>
        <v>0</v>
      </c>
      <c r="AB33" s="80">
        <f>+_xlfn.IFNA(Table10[[#This Row],[Total]]/INDEX(crests.progress[Crest.Qty],MATCH(SUM(Table10[[#This Row],[Best]]+1),crests.progress[Crest.Tier],0)),1)</f>
        <v>1</v>
      </c>
      <c r="AC33" s="28"/>
    </row>
    <row r="34" spans="2:29" ht="15" thickBot="1" x14ac:dyDescent="0.25">
      <c r="B34" s="276"/>
      <c r="C34" s="29" t="s">
        <v>13</v>
      </c>
      <c r="D34" s="95" t="s">
        <v>114</v>
      </c>
      <c r="E34" s="43">
        <f t="array" ref="E34">+INDEX(crests.sets[1],MATCH(Table710[[#This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134</v>
      </c>
      <c r="F34" s="44">
        <f t="array" ref="F34">+INDEX(crests.sets[2],MATCH(Table710[[#This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34" s="44">
        <f t="array" ref="G34">+INDEX(crests.sets[3],MATCH(Table710[[#This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4" s="44">
        <f t="array" ref="H34">+INDEX(crests.sets[4],MATCH(Table710[[#This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4" s="45">
        <f t="array" ref="I34">+INDEX(crests.sets[5],MATCH(Table710[[#This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4" s="73">
        <f>+Table710[[#This Row],[1]]+4*Table710[[#This Row],[2]]+16*Table710[[#This Row],[3]]+64*Table710[[#This Row],[4]]+256*Table710[[#This Row],[5]]-IF($E$41="No",VLOOKUP(Table710[[#This Row],[Crest.Name]],$B$44:$J$79,9,FALSE))</f>
        <v>150</v>
      </c>
      <c r="K34" s="3">
        <f>+IF(Table710[[#This Row],[Total]]&lt;4,1,IF(Table710[[#This Row],[Total]]&lt;16,2,IF(Table710[[#This Row],[Total]]&lt;64,3,IF(Table710[[#This Row],[Total]]&lt;256,4,5))))</f>
        <v>4</v>
      </c>
      <c r="L34" s="214"/>
      <c r="M34" s="46">
        <f>+_xlfn.IFNA(INDEX(crests.progress[Crest.Qty],MATCH(SUM(Table710[[#This Row],[Best]]+1),crests.progress[Crest.Tier],0))-Table710[[#This Row],[Total]],0)</f>
        <v>106</v>
      </c>
      <c r="N34" s="75">
        <f>+_xlfn.IFNA(Table710[[#This Row],[Total]]/INDEX(crests.progress[Crest.Qty],MATCH(SUM(Table710[[#This Row],[Best]]+1),crests.progress[Crest.Tier],0)),1)</f>
        <v>0.5859375</v>
      </c>
      <c r="O34" s="75"/>
      <c r="P34" s="276"/>
      <c r="Q34" s="92" t="s">
        <v>16</v>
      </c>
      <c r="R34" s="95" t="s">
        <v>114</v>
      </c>
      <c r="S34" s="56">
        <f t="array" ref="S34">+INDEX(crests.sets[1],MATCH(Table10[[#This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26</v>
      </c>
      <c r="T34" s="51">
        <f t="array" ref="T34">+INDEX(crests.sets[2],MATCH(Table10[[#This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2</v>
      </c>
      <c r="U34" s="51">
        <f t="array" ref="U34">+INDEX(crests.sets[3],MATCH(Table10[[#This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34" s="51">
        <f t="array" ref="V34">+INDEX(crests.sets[4],MATCH(Table10[[#This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34" s="52">
        <f t="array" ref="W34">+INDEX(crests.sets[5],MATCH(Table10[[#This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4" s="77">
        <f>+Table10[[#This Row],[1]]+4*Table10[[#This Row],[2]]+16*Table10[[#This Row],[3]]+64*Table10[[#This Row],[4]]+256*Table10[[#This Row],[5]]--IF($E$41="No",VLOOKUP(Table10[[#This Row],[Crest.Name]],$B$44:$J$79,9,FALSE))</f>
        <v>178</v>
      </c>
      <c r="Y34" s="5">
        <f>+IF(Table10[[#This Row],[Total]]=0,0,IF(Table10[[#This Row],[Total]]&lt;4,1,IF(Table10[[#This Row],[Total]]&lt;16,2,IF(Table10[[#This Row],[Total]]&lt;64,3,IF(Table10[[#This Row],[Total]]&lt;256,4,5)))))</f>
        <v>4</v>
      </c>
      <c r="Z34" s="219"/>
      <c r="AA34" s="57">
        <f>+_xlfn.IFNA(INDEX(crests.progress[Crest.Qty],MATCH(SUM(Table10[[#This Row],[Best]]+1),crests.progress[Crest.Tier],0))-Table10[[#This Row],[Total]],0)</f>
        <v>78</v>
      </c>
      <c r="AB34" s="80">
        <f>+_xlfn.IFNA(Table10[[#This Row],[Total]]/INDEX(crests.progress[Crest.Qty],MATCH(SUM(Table10[[#This Row],[Best]]+1),crests.progress[Crest.Tier],0)),1)</f>
        <v>0.6953125</v>
      </c>
      <c r="AC34" s="28"/>
    </row>
    <row r="35" spans="2:29" ht="15" thickBot="1" x14ac:dyDescent="0.25">
      <c r="B35" s="276"/>
      <c r="C35" s="29" t="s">
        <v>13</v>
      </c>
      <c r="D35" s="96" t="s">
        <v>115</v>
      </c>
      <c r="E35" s="60">
        <f t="array" ref="E35">+INDEX(crests.sets[1],MATCH(Table710[[#This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77</v>
      </c>
      <c r="F35" s="61">
        <f t="array" ref="F35">+INDEX(crests.sets[2],MATCH(Table710[[#This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35" s="61">
        <f t="array" ref="G35">+INDEX(crests.sets[3],MATCH(Table710[[#This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5" s="61">
        <f t="array" ref="H35">+INDEX(crests.sets[4],MATCH(Table710[[#This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0</v>
      </c>
      <c r="I35" s="62">
        <f t="array" ref="I35">+INDEX(crests.sets[5],MATCH(Table710[[#This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5" s="73">
        <f>+Table710[[#This Row],[1]]+4*Table710[[#This Row],[2]]+16*Table710[[#This Row],[3]]+64*Table710[[#This Row],[4]]+256*Table710[[#This Row],[5]]-IF($E$41="No",VLOOKUP(Table710[[#This Row],[Crest.Name]],$B$44:$J$79,9,FALSE))</f>
        <v>93</v>
      </c>
      <c r="K35" s="3">
        <f>+IF(Table710[[#This Row],[Total]]&lt;4,1,IF(Table710[[#This Row],[Total]]&lt;16,2,IF(Table710[[#This Row],[Total]]&lt;64,3,IF(Table710[[#This Row],[Total]]&lt;256,4,5))))</f>
        <v>4</v>
      </c>
      <c r="L35" s="214"/>
      <c r="M35" s="63">
        <f>+_xlfn.IFNA(INDEX(crests.progress[Crest.Qty],MATCH(SUM(Table710[[#This Row],[Best]]+1),crests.progress[Crest.Tier],0))-Table710[[#This Row],[Total]],0)</f>
        <v>163</v>
      </c>
      <c r="N35" s="75">
        <f>+_xlfn.IFNA(Table710[[#This Row],[Total]]/INDEX(crests.progress[Crest.Qty],MATCH(SUM(Table710[[#This Row],[Best]]+1),crests.progress[Crest.Tier],0)),1)</f>
        <v>0.36328125</v>
      </c>
      <c r="O35" s="75"/>
      <c r="P35" s="276"/>
      <c r="Q35" s="91" t="s">
        <v>16</v>
      </c>
      <c r="R35" s="96" t="s">
        <v>115</v>
      </c>
      <c r="S35" s="71">
        <f t="array" ref="S35">+INDEX(crests.sets[1],MATCH(Table10[[#This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19</v>
      </c>
      <c r="T35" s="64">
        <f t="array" ref="T35">+INDEX(crests.sets[2],MATCH(Table10[[#This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1</v>
      </c>
      <c r="U35" s="64">
        <f t="array" ref="U35">+INDEX(crests.sets[3],MATCH(Table10[[#This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1</v>
      </c>
      <c r="V35" s="64">
        <f t="array" ref="V35">+INDEX(crests.sets[4],MATCH(Table10[[#This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1</v>
      </c>
      <c r="W35" s="65">
        <f t="array" ref="W35">+INDEX(crests.sets[5],MATCH(Table10[[#This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5" s="77">
        <f>+Table10[[#This Row],[1]]+4*Table10[[#This Row],[2]]+16*Table10[[#This Row],[3]]+64*Table10[[#This Row],[4]]+256*Table10[[#This Row],[5]]--IF($E$41="No",VLOOKUP(Table10[[#This Row],[Crest.Name]],$B$44:$J$79,9,FALSE))</f>
        <v>167</v>
      </c>
      <c r="Y35" s="5">
        <f>+IF(Table10[[#This Row],[Total]]=0,0,IF(Table10[[#This Row],[Total]]&lt;4,1,IF(Table10[[#This Row],[Total]]&lt;16,2,IF(Table10[[#This Row],[Total]]&lt;64,3,IF(Table10[[#This Row],[Total]]&lt;256,4,5)))))</f>
        <v>4</v>
      </c>
      <c r="Z35" s="220"/>
      <c r="AA35" s="70">
        <f>+_xlfn.IFNA(INDEX(crests.progress[Crest.Qty],MATCH(SUM(Table10[[#This Row],[Best]]+1),crests.progress[Crest.Tier],0))-Table10[[#This Row],[Total]],0)</f>
        <v>89</v>
      </c>
      <c r="AB35" s="81">
        <f>+_xlfn.IFNA(Table10[[#This Row],[Total]]/INDEX(crests.progress[Crest.Qty],MATCH(SUM(Table10[[#This Row],[Best]]+1),crests.progress[Crest.Tier],0)),1)</f>
        <v>0.65234375</v>
      </c>
      <c r="AC35" s="28"/>
    </row>
    <row r="36" spans="2:29" ht="15" thickBot="1" x14ac:dyDescent="0.25">
      <c r="B36" s="276"/>
      <c r="C36" s="31" t="s">
        <v>40</v>
      </c>
      <c r="D36" s="97" t="s">
        <v>112</v>
      </c>
      <c r="E36" s="47">
        <f t="array" ref="E36">+INDEX(crests.sets[1],MATCH(Table710[[#This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21</v>
      </c>
      <c r="F36" s="48">
        <f t="array" ref="F36">+INDEX(crests.sets[2],MATCH(Table710[[#This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3</v>
      </c>
      <c r="G36" s="48">
        <f t="array" ref="G36">+INDEX(crests.sets[3],MATCH(Table710[[#This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6" s="48">
        <f t="array" ref="H36">+INDEX(crests.sets[4],MATCH(Table710[[#This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36" s="49">
        <f t="array" ref="I36">+INDEX(crests.sets[5],MATCH(Table710[[#This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6" s="74">
        <f>+Table710[[#This Row],[1]]+4*Table710[[#This Row],[2]]+16*Table710[[#This Row],[3]]+64*Table710[[#This Row],[4]]+256*Table710[[#This Row],[5]]-IF($E$41="No",VLOOKUP(Table710[[#This Row],[Crest.Name]],$B$44:$J$79,9,FALSE))</f>
        <v>49</v>
      </c>
      <c r="K36" s="4">
        <f>+IF(Table710[[#This Row],[Total]]&lt;4,1,IF(Table710[[#This Row],[Total]]&lt;16,2,IF(Table710[[#This Row],[Total]]&lt;64,3,IF(Table710[[#This Row],[Total]]&lt;256,4,5))))</f>
        <v>3</v>
      </c>
      <c r="L36" s="215"/>
      <c r="M36" s="50">
        <f>+_xlfn.IFNA(INDEX(crests.progress[Crest.Qty],MATCH(SUM(Table710[[#This Row],[Best]]+1),crests.progress[Crest.Tier],0))-Table710[[#This Row],[Total]],0)</f>
        <v>15</v>
      </c>
      <c r="N36" s="76">
        <f>+_xlfn.IFNA(Table710[[#This Row],[Total]]/INDEX(crests.progress[Crest.Qty],MATCH(SUM(Table710[[#This Row],[Best]]+1),crests.progress[Crest.Tier],0)),1)</f>
        <v>0.765625</v>
      </c>
      <c r="O36" s="217"/>
      <c r="P36" s="276"/>
      <c r="Q36" s="93" t="s">
        <v>34</v>
      </c>
      <c r="R36" s="97" t="s">
        <v>112</v>
      </c>
      <c r="S36" s="58">
        <f t="array" ref="S36">+INDEX(crests.sets[1],MATCH(Table10[[#This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3</v>
      </c>
      <c r="T36" s="53">
        <f t="array" ref="T36">+INDEX(crests.sets[2],MATCH(Table10[[#This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36" s="53">
        <f t="array" ref="U36">+INDEX(crests.sets[3],MATCH(Table10[[#This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6" s="53">
        <f t="array" ref="V36">+INDEX(crests.sets[4],MATCH(Table10[[#This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0</v>
      </c>
      <c r="W36" s="54">
        <f t="array" ref="W36">+INDEX(crests.sets[5],MATCH(Table10[[#This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6" s="78">
        <f>+Table10[[#This Row],[1]]+4*Table10[[#This Row],[2]]+16*Table10[[#This Row],[3]]+64*Table10[[#This Row],[4]]+256*Table10[[#This Row],[5]]--IF($E$41="No",VLOOKUP(Table10[[#This Row],[Crest.Name]],$B$44:$J$79,9,FALSE))</f>
        <v>4</v>
      </c>
      <c r="Y36" s="6">
        <f>+IF(Table10[[#This Row],[Total]]=0,0,IF(Table10[[#This Row],[Total]]&lt;4,1,IF(Table10[[#This Row],[Total]]&lt;16,2,IF(Table10[[#This Row],[Total]]&lt;64,3,IF(Table10[[#This Row],[Total]]&lt;256,4,5)))))</f>
        <v>2</v>
      </c>
      <c r="Z36" s="221"/>
      <c r="AA36" s="59">
        <f>+_xlfn.IFNA(INDEX(crests.progress[Crest.Qty],MATCH(SUM(Table10[[#This Row],[Best]]+1),crests.progress[Crest.Tier],0))-Table10[[#This Row],[Total]],0)</f>
        <v>12</v>
      </c>
      <c r="AB36" s="82">
        <f>+_xlfn.IFNA(Table10[[#This Row],[Total]]/INDEX(crests.progress[Crest.Qty],MATCH(SUM(Table10[[#This Row],[Best]]+1),crests.progress[Crest.Tier],0)),1)</f>
        <v>0.25</v>
      </c>
      <c r="AC36" s="28"/>
    </row>
    <row r="37" spans="2:29" ht="15" thickBot="1" x14ac:dyDescent="0.25">
      <c r="B37" s="276"/>
      <c r="C37" s="29" t="s">
        <v>40</v>
      </c>
      <c r="D37" s="96" t="s">
        <v>113</v>
      </c>
      <c r="E37" s="60">
        <f t="array" ref="E37">+INDEX(crests.sets[1],MATCH(Table710[[#This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14</v>
      </c>
      <c r="F37" s="61">
        <f t="array" ref="F37">+INDEX(crests.sets[2],MATCH(Table710[[#This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37" s="61">
        <f t="array" ref="G37">+INDEX(crests.sets[3],MATCH(Table710[[#This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7" s="61">
        <f t="array" ref="H37">+INDEX(crests.sets[4],MATCH(Table710[[#This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37" s="62">
        <f t="array" ref="I37">+INDEX(crests.sets[5],MATCH(Table710[[#This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7" s="73">
        <f>+Table710[[#This Row],[1]]+4*Table710[[#This Row],[2]]+16*Table710[[#This Row],[3]]+64*Table710[[#This Row],[4]]+256*Table710[[#This Row],[5]]-IF($E$41="No",VLOOKUP(Table710[[#This Row],[Crest.Name]],$B$44:$J$79,9,FALSE))</f>
        <v>34</v>
      </c>
      <c r="K37" s="3">
        <f>+IF(Table710[[#This Row],[Total]]&lt;4,1,IF(Table710[[#This Row],[Total]]&lt;16,2,IF(Table710[[#This Row],[Total]]&lt;64,3,IF(Table710[[#This Row],[Total]]&lt;256,4,5))))</f>
        <v>3</v>
      </c>
      <c r="L37" s="214"/>
      <c r="M37" s="63">
        <f>+_xlfn.IFNA(INDEX(crests.progress[Crest.Qty],MATCH(SUM(Table710[[#This Row],[Best]]+1),crests.progress[Crest.Tier],0))-Table710[[#This Row],[Total]],0)</f>
        <v>30</v>
      </c>
      <c r="N37" s="75">
        <f>+_xlfn.IFNA(Table710[[#This Row],[Total]]/INDEX(crests.progress[Crest.Qty],MATCH(SUM(Table710[[#This Row],[Best]]+1),crests.progress[Crest.Tier],0)),1)</f>
        <v>0.53125</v>
      </c>
      <c r="O37" s="75"/>
      <c r="P37" s="276"/>
      <c r="Q37" s="91" t="s">
        <v>34</v>
      </c>
      <c r="R37" s="96" t="s">
        <v>113</v>
      </c>
      <c r="S37" s="71">
        <f t="array" ref="S37">+INDEX(crests.sets[1],MATCH(Table10[[#This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v>
      </c>
      <c r="T37" s="64">
        <f t="array" ref="T37">+INDEX(crests.sets[2],MATCH(Table10[[#This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37" s="64">
        <f t="array" ref="U37">+INDEX(crests.sets[3],MATCH(Table10[[#This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7" s="64">
        <f t="array" ref="V37">+INDEX(crests.sets[4],MATCH(Table10[[#This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0</v>
      </c>
      <c r="W37" s="65">
        <f t="array" ref="W37">+INDEX(crests.sets[5],MATCH(Table10[[#This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7" s="77">
        <f>+Table10[[#This Row],[1]]+4*Table10[[#This Row],[2]]+16*Table10[[#This Row],[3]]+64*Table10[[#This Row],[4]]+256*Table10[[#This Row],[5]]--IF($E$41="No",VLOOKUP(Table10[[#This Row],[Crest.Name]],$B$44:$J$79,9,FALSE))</f>
        <v>2</v>
      </c>
      <c r="Y37" s="5">
        <f>+IF(Table10[[#This Row],[Total]]=0,0,IF(Table10[[#This Row],[Total]]&lt;4,1,IF(Table10[[#This Row],[Total]]&lt;16,2,IF(Table10[[#This Row],[Total]]&lt;64,3,IF(Table10[[#This Row],[Total]]&lt;256,4,5)))))</f>
        <v>1</v>
      </c>
      <c r="Z37" s="219"/>
      <c r="AA37" s="72">
        <f>+_xlfn.IFNA(INDEX(crests.progress[Crest.Qty],MATCH(SUM(Table10[[#This Row],[Best]]+1),crests.progress[Crest.Tier],0))-Table10[[#This Row],[Total]],0)</f>
        <v>2</v>
      </c>
      <c r="AB37" s="80">
        <f>+_xlfn.IFNA(Table10[[#This Row],[Total]]/INDEX(crests.progress[Crest.Qty],MATCH(SUM(Table10[[#This Row],[Best]]+1),crests.progress[Crest.Tier],0)),1)</f>
        <v>0.5</v>
      </c>
      <c r="AC37" s="28"/>
    </row>
    <row r="38" spans="2:29" ht="15" thickBot="1" x14ac:dyDescent="0.25">
      <c r="B38" s="276"/>
      <c r="C38" s="29" t="s">
        <v>40</v>
      </c>
      <c r="D38" s="95" t="s">
        <v>114</v>
      </c>
      <c r="E38" s="43">
        <f t="array" ref="E38">+INDEX(crests.sets[1],MATCH(Table710[[#This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v>
      </c>
      <c r="F38" s="44">
        <f t="array" ref="F38">+INDEX(crests.sets[2],MATCH(Table710[[#This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0</v>
      </c>
      <c r="G38" s="44">
        <f t="array" ref="G38">+INDEX(crests.sets[3],MATCH(Table710[[#This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8" s="44">
        <f t="array" ref="H38">+INDEX(crests.sets[4],MATCH(Table710[[#This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38" s="45">
        <f t="array" ref="I38">+INDEX(crests.sets[5],MATCH(Table710[[#This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8" s="73">
        <f>+Table710[[#This Row],[1]]+4*Table710[[#This Row],[2]]+16*Table710[[#This Row],[3]]+64*Table710[[#This Row],[4]]+256*Table710[[#This Row],[5]]-IF($E$41="No",VLOOKUP(Table710[[#This Row],[Crest.Name]],$B$44:$J$79,9,FALSE))</f>
        <v>29</v>
      </c>
      <c r="K38" s="3">
        <f>+IF(Table710[[#This Row],[Total]]&lt;4,1,IF(Table710[[#This Row],[Total]]&lt;16,2,IF(Table710[[#This Row],[Total]]&lt;64,3,IF(Table710[[#This Row],[Total]]&lt;256,4,5))))</f>
        <v>3</v>
      </c>
      <c r="L38" s="214"/>
      <c r="M38" s="46">
        <f>+_xlfn.IFNA(INDEX(crests.progress[Crest.Qty],MATCH(SUM(Table710[[#This Row],[Best]]+1),crests.progress[Crest.Tier],0))-Table710[[#This Row],[Total]],0)</f>
        <v>35</v>
      </c>
      <c r="N38" s="75">
        <f>+_xlfn.IFNA(Table710[[#This Row],[Total]]/INDEX(crests.progress[Crest.Qty],MATCH(SUM(Table710[[#This Row],[Best]]+1),crests.progress[Crest.Tier],0)),1)</f>
        <v>0.453125</v>
      </c>
      <c r="O38" s="75"/>
      <c r="P38" s="276"/>
      <c r="Q38" s="92" t="s">
        <v>34</v>
      </c>
      <c r="R38" s="95" t="s">
        <v>114</v>
      </c>
      <c r="S38" s="56">
        <f t="array" ref="S38">+INDEX(crests.sets[1],MATCH(Table10[[#This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2</v>
      </c>
      <c r="T38" s="51">
        <f t="array" ref="T38">+INDEX(crests.sets[2],MATCH(Table10[[#This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38" s="51">
        <f t="array" ref="U38">+INDEX(crests.sets[3],MATCH(Table10[[#This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8" s="51">
        <f t="array" ref="V38">+INDEX(crests.sets[4],MATCH(Table10[[#This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0</v>
      </c>
      <c r="W38" s="52">
        <f t="array" ref="W38">+INDEX(crests.sets[5],MATCH(Table10[[#This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8" s="77">
        <f>+Table10[[#This Row],[1]]+4*Table10[[#This Row],[2]]+16*Table10[[#This Row],[3]]+64*Table10[[#This Row],[4]]+256*Table10[[#This Row],[5]]--IF($E$41="No",VLOOKUP(Table10[[#This Row],[Crest.Name]],$B$44:$J$79,9,FALSE))</f>
        <v>3</v>
      </c>
      <c r="Y38" s="5">
        <f>+IF(Table10[[#This Row],[Total]]=0,0,IF(Table10[[#This Row],[Total]]&lt;4,1,IF(Table10[[#This Row],[Total]]&lt;16,2,IF(Table10[[#This Row],[Total]]&lt;64,3,IF(Table10[[#This Row],[Total]]&lt;256,4,5)))))</f>
        <v>1</v>
      </c>
      <c r="Z38" s="219"/>
      <c r="AA38" s="57">
        <f>+_xlfn.IFNA(INDEX(crests.progress[Crest.Qty],MATCH(SUM(Table10[[#This Row],[Best]]+1),crests.progress[Crest.Tier],0))-Table10[[#This Row],[Total]],0)</f>
        <v>1</v>
      </c>
      <c r="AB38" s="80">
        <f>+_xlfn.IFNA(Table10[[#This Row],[Total]]/INDEX(crests.progress[Crest.Qty],MATCH(SUM(Table10[[#This Row],[Best]]+1),crests.progress[Crest.Tier],0)),1)</f>
        <v>0.75</v>
      </c>
      <c r="AC38" s="28"/>
    </row>
    <row r="39" spans="2:29" x14ac:dyDescent="0.2">
      <c r="B39" s="277"/>
      <c r="C39" s="29" t="s">
        <v>40</v>
      </c>
      <c r="D39" s="96" t="s">
        <v>115</v>
      </c>
      <c r="E39" s="60">
        <f t="array" ref="E39">+INDEX(crests.sets[1],MATCH(Table710[[#This Row],[Crest.Name]],crests.sets[Crest],0))+IFERROR(INDEX(crests.warehouse.1[1],MATCH(Table710[[#This Row],[Crest.Name]]&amp;Table710[[#This Row],[ ]],crests.warehouse.1[Crest.Name]&amp;crests.warehouse.1[[ ]],0)),0)+IFERROR(INDEX(crests.warehouse.2[1],MATCH(Table710[[#This Row],[Crest.Name]]&amp;Table710[[#This Row],[ ]],crests.warehouse.2[Crest.Name]&amp;crests.warehouse.2[[ ]],0)),0)+COUNTIFS(Table22[Crest],Table710[[#This Row],[Crest.Name]],Table22[Slot],Table710[[#This Row],[ ]],Table22[Level],1)</f>
        <v>13</v>
      </c>
      <c r="F39" s="61">
        <f t="array" ref="F39">+INDEX(crests.sets[2],MATCH(Table710[[#This Row],[Crest.Name]],crests.sets[Crest],0))+IFERROR(INDEX(crests.warehouse.1[2],MATCH(Table710[[#This Row],[Crest.Name]]&amp;Table710[[#This Row],[ ]],crests.warehouse.1[Crest.Name]&amp;crests.warehouse.1[[ ]],0)),0)+IFERROR(INDEX(crests.warehouse.2[2],MATCH(Table710[[#This Row],[Crest.Name]]&amp;Table710[[#This Row],[ ]],crests.warehouse.2[Crest.Name]&amp;crests.warehouse.2[[ ]],0)),0)++COUNTIFS(Table22[Crest],Table710[[#This Row],[Crest.Name]],Table22[Slot],Table710[[#This Row],[ ]],Table22[Level],2)</f>
        <v>1</v>
      </c>
      <c r="G39" s="61">
        <f t="array" ref="G39">+INDEX(crests.sets[3],MATCH(Table710[[#This Row],[Crest.Name]],crests.sets[Crest],0))+IFERROR(INDEX(crests.warehouse.1[3],MATCH(Table710[[#This Row],[Crest.Name]]&amp;Table710[[#This Row],[ ]],crests.warehouse.1[Crest.Name]&amp;crests.warehouse.1[[ ]],0)),0)+IFERROR(INDEX(crests.warehouse.2[3],MATCH(Table710[[#This Row],[Crest.Name]]&amp;Table710[[#This Row],[ ]],crests.warehouse.2[Crest.Name]&amp;crests.warehouse.2[[ ]],0)),0)+COUNTIFS(Table22[Crest],Table710[[#This Row],[Crest.Name]],Table22[Slot],Table710[[#This Row],[ ]],Table22[Level],3)</f>
        <v>1</v>
      </c>
      <c r="H39" s="61">
        <f t="array" ref="H39">+INDEX(crests.sets[4],MATCH(Table710[[#This Row],[Crest.Name]],crests.sets[Crest],0))+IFERROR(INDEX(crests.warehouse.1[4],MATCH(Table710[[#This Row],[Crest.Name]]&amp;Table710[[#This Row],[ ]],crests.warehouse.1[Crest.Name]&amp;crests.warehouse.1[[ ]],0)),0)+IFERROR(INDEX(crests.warehouse.2[4],MATCH(Table710[[#This Row],[Crest.Name]]&amp;Table710[[#This Row],[ ]],crests.warehouse.2[Crest.Name]&amp;crests.warehouse.2[[ ]],0)),0)+COUNTIFS(Table22[Crest],Table710[[#This Row],[Crest.Name]],Table22[Slot],Table710[[#This Row],[ ]],Table22[Level],4)</f>
        <v>1</v>
      </c>
      <c r="I39" s="62">
        <f t="array" ref="I39">+INDEX(crests.sets[5],MATCH(Table710[[#This Row],[Crest.Name]],crests.sets[Crest],0))+IFERROR(INDEX(crests.warehouse.1[5],MATCH(Table710[[#This Row],[Crest.Name]]&amp;Table710[[#This Row],[ ]],crests.warehouse.1[Crest.Name]&amp;crests.warehouse.1[[ ]],0)),0)+IFERROR(INDEX(crests.warehouse.2[5],MATCH(Table710[[#This Row],[Crest.Name]]&amp;Table710[[#This Row],[ ]],crests.warehouse.2[Crest.Name]&amp;crests.warehouse.2[[ ]],0)),0)+COUNTIFS(Table22[Crest],Table710[[#This Row],[Crest.Name]],Table22[Slot],Table710[[#This Row],[ ]],Table22[Level],5)</f>
        <v>0</v>
      </c>
      <c r="J39" s="73">
        <f>+Table710[[#This Row],[1]]+4*Table710[[#This Row],[2]]+16*Table710[[#This Row],[3]]+64*Table710[[#This Row],[4]]+256*Table710[[#This Row],[5]]-IF($E$41="No",VLOOKUP(Table710[[#This Row],[Crest.Name]],$B$44:$J$79,9,FALSE))</f>
        <v>33</v>
      </c>
      <c r="K39" s="3">
        <f>+IF(Table710[[#This Row],[Total]]&lt;4,1,IF(Table710[[#This Row],[Total]]&lt;16,2,IF(Table710[[#This Row],[Total]]&lt;64,3,IF(Table710[[#This Row],[Total]]&lt;256,4,5))))</f>
        <v>3</v>
      </c>
      <c r="L39" s="214"/>
      <c r="M39" s="63">
        <f>+_xlfn.IFNA(INDEX(crests.progress[Crest.Qty],MATCH(SUM(Table710[[#This Row],[Best]]+1),crests.progress[Crest.Tier],0))-Table710[[#This Row],[Total]],0)</f>
        <v>31</v>
      </c>
      <c r="N39" s="75">
        <f>+_xlfn.IFNA(Table710[[#This Row],[Total]]/INDEX(crests.progress[Crest.Qty],MATCH(SUM(Table710[[#This Row],[Best]]+1),crests.progress[Crest.Tier],0)),1)</f>
        <v>0.515625</v>
      </c>
      <c r="O39" s="75"/>
      <c r="P39" s="277"/>
      <c r="Q39" s="94" t="s">
        <v>34</v>
      </c>
      <c r="R39" s="96" t="s">
        <v>115</v>
      </c>
      <c r="S39" s="69">
        <f t="array" ref="S39">+INDEX(crests.sets[1],MATCH(Table10[[#This Row],[Crest.Name]],crests.sets[Crest],0))+IFERROR(INDEX(crests.warehouse.1[1],MATCH(Table10[[#This Row],[Crest.Name]]&amp;Table10[[#This Row],[ ]],crests.warehouse.1[Crest.Name]&amp;crests.warehouse.1[[ ]],0)),0)+IFERROR(INDEX(crests.warehouse.2[1],MATCH(Table10[[#This Row],[Crest.Name]]&amp;Table10[[#This Row],[ ]],crests.warehouse.2[Crest.Name]&amp;crests.warehouse.2[[ ]],0)),0)+COUNTIFS(Table22[Crest],Table10[[#This Row],[Crest.Name]],Table22[Slot],Table10[[#This Row],[ ]],Table22[Level],1)</f>
        <v>1</v>
      </c>
      <c r="T39" s="66">
        <f t="array" ref="T39">+INDEX(crests.sets[2],MATCH(Table10[[#This Row],[Crest.Name]],crests.sets[Crest],0))+IFERROR(INDEX(crests.warehouse.1[2],MATCH(Table10[[#This Row],[Crest.Name]]&amp;Table10[[#This Row],[ ]],crests.warehouse.1[Crest.Name]&amp;crests.warehouse.1[[ ]],0)),0)+IFERROR(INDEX(crests.warehouse.2[2],MATCH(Table10[[#This Row],[Crest.Name]]&amp;Table10[[#This Row],[ ]],crests.warehouse.2[Crest.Name]&amp;crests.warehouse.2[[ ]],0)),0)+COUNTIFS(Table22[Crest],Table10[[#This Row],[Crest.Name]],Table22[Slot],Table10[[#This Row],[ ]],Table22[Level],2)</f>
        <v>0</v>
      </c>
      <c r="U39" s="66">
        <f t="array" ref="U39">+INDEX(crests.sets[3],MATCH(Table10[[#This Row],[Crest.Name]],crests.sets[Crest],0))+IFERROR(INDEX(crests.warehouse.1[3],MATCH(Table10[[#This Row],[Crest.Name]]&amp;Table10[[#This Row],[ ]],crests.warehouse.1[Crest.Name]&amp;crests.warehouse.1[[ ]],0)),0)+IFERROR(INDEX(crests.warehouse.2[3],MATCH(Table10[[#This Row],[Crest.Name]]&amp;Table10[[#This Row],[ ]],crests.warehouse.2[Crest.Name]&amp;crests.warehouse.2[[ ]],0)),0)+COUNTIFS(Table22[Crest],Table10[[#This Row],[Crest.Name]],Table22[Slot],Table10[[#This Row],[ ]],Table22[Level],3)</f>
        <v>0</v>
      </c>
      <c r="V39" s="66">
        <f t="array" ref="V39">+INDEX(crests.sets[4],MATCH(Table10[[#This Row],[Crest.Name]],crests.sets[Crest],0))+IFERROR(INDEX(crests.warehouse.1[4],MATCH(Table10[[#This Row],[Crest.Name]]&amp;Table10[[#This Row],[ ]],crests.warehouse.1[Crest.Name]&amp;crests.warehouse.1[[ ]],0)),0)+IFERROR(INDEX(crests.warehouse.2[4],MATCH(Table10[[#This Row],[Crest.Name]]&amp;Table10[[#This Row],[ ]],crests.warehouse.2[Crest.Name]&amp;crests.warehouse.2[[ ]],0)),0)+COUNTIFS(Table22[Crest],Table10[[#This Row],[Crest.Name]],Table22[Slot],Table10[[#This Row],[ ]],Table22[Level],4)</f>
        <v>0</v>
      </c>
      <c r="W39" s="67">
        <f t="array" ref="W39">+INDEX(crests.sets[5],MATCH(Table10[[#This Row],[Crest.Name]],crests.sets[Crest],0))+IFERROR(INDEX(crests.warehouse.1[5],MATCH(Table10[[#This Row],[Crest.Name]]&amp;Table10[[#This Row],[ ]],crests.warehouse.1[Crest.Name]&amp;crests.warehouse.1[[ ]],0)),0)+IFERROR(INDEX(crests.warehouse.2[5],MATCH(Table10[[#This Row],[Crest.Name]]&amp;Table10[[#This Row],[ ]],crests.warehouse.2[Crest.Name]&amp;crests.warehouse.2[[ ]],0)),0)+COUNTIFS(Table22[Crest],Table10[[#This Row],[Crest.Name]],Table22[Slot],Table10[[#This Row],[ ]],Table22[Level],5)</f>
        <v>0</v>
      </c>
      <c r="X39" s="79">
        <f>+Table10[[#This Row],[1]]+4*Table10[[#This Row],[2]]+16*Table10[[#This Row],[3]]+64*Table10[[#This Row],[4]]+256*Table10[[#This Row],[5]]--IF($E$41="No",VLOOKUP(Table10[[#This Row],[Crest.Name]],$B$44:$J$79,9,FALSE))</f>
        <v>2</v>
      </c>
      <c r="Y39" s="7">
        <f>+IF(Table10[[#This Row],[Total]]=0,0,IF(Table10[[#This Row],[Total]]&lt;4,1,IF(Table10[[#This Row],[Total]]&lt;16,2,IF(Table10[[#This Row],[Total]]&lt;64,3,IF(Table10[[#This Row],[Total]]&lt;256,4,5)))))</f>
        <v>1</v>
      </c>
      <c r="Z39" s="220"/>
      <c r="AA39" s="70">
        <f>+_xlfn.IFNA(INDEX(crests.progress[Crest.Qty],MATCH(SUM(Table10[[#This Row],[Best]]+1),crests.progress[Crest.Tier],0))-Table10[[#This Row],[Total]],0)</f>
        <v>2</v>
      </c>
      <c r="AB39" s="80">
        <f>+_xlfn.IFNA(Table10[[#This Row],[Total]]/INDEX(crests.progress[Crest.Qty],MATCH(SUM(Table10[[#This Row],[Best]]+1),crests.progress[Crest.Tier],0)),1)</f>
        <v>0.5</v>
      </c>
      <c r="AC39" s="28"/>
    </row>
    <row r="41" spans="2:29" x14ac:dyDescent="0.2">
      <c r="B41" s="187" t="s">
        <v>205</v>
      </c>
      <c r="D41" s="187"/>
      <c r="E41" s="187" t="s">
        <v>267</v>
      </c>
      <c r="G41" s="225" t="s">
        <v>206</v>
      </c>
      <c r="H41" s="225" t="s">
        <v>15</v>
      </c>
    </row>
    <row r="43" spans="2:29" ht="15.75" customHeight="1" thickBot="1" x14ac:dyDescent="0.25">
      <c r="B43" s="299" t="s">
        <v>106</v>
      </c>
      <c r="C43" s="299"/>
      <c r="D43" s="299"/>
      <c r="E43" s="222">
        <v>1</v>
      </c>
      <c r="F43" s="222">
        <v>2</v>
      </c>
      <c r="G43" s="222">
        <v>3</v>
      </c>
      <c r="H43" s="222">
        <v>4</v>
      </c>
      <c r="I43" s="222">
        <v>5</v>
      </c>
      <c r="J43" s="222" t="s">
        <v>208</v>
      </c>
    </row>
    <row r="44" spans="2:29" ht="15" customHeight="1" thickBot="1" x14ac:dyDescent="0.25">
      <c r="B44" s="294" t="s">
        <v>38</v>
      </c>
      <c r="C44" s="294"/>
      <c r="D44" s="295"/>
      <c r="E44" s="296">
        <f>+COUNTIFS(heroes[Crest Set],'Total Crests'!$K44,heroes[Crest Level],'Total Crests'!$E$43,heroes[Lock Crest?],"Y")</f>
        <v>0</v>
      </c>
      <c r="F44" s="298">
        <f>+COUNTIFS(heroes[Crest Set],'Total Crests'!$K44,heroes[Crest Level],'Total Crests'!$F$43,heroes[Lock Crest?],"Y")</f>
        <v>0</v>
      </c>
      <c r="G44" s="298">
        <f>+COUNTIFS(heroes[Crest Set],'Total Crests'!$K44,heroes[Crest Level],'Total Crests'!$G$43,heroes[Lock Crest?],"Y")</f>
        <v>0</v>
      </c>
      <c r="H44" s="298">
        <f>+COUNTIFS(heroes[Crest Set],'Total Crests'!$K44,heroes[Crest Level],'Total Crests'!$H$43,heroes[Lock Crest?],"Y")</f>
        <v>1</v>
      </c>
      <c r="I44" s="298">
        <f>+COUNTIFS(heroes[Crest Set],'Total Crests'!$K44,heroes[Crest Level],'Total Crests'!$I$43,heroes[Lock Crest?],"Y")</f>
        <v>0</v>
      </c>
      <c r="J44" s="298">
        <f>+E44+F44*4+G44*16+H44*64+I44*256</f>
        <v>64</v>
      </c>
      <c r="K44" s="225" t="s">
        <v>38</v>
      </c>
    </row>
    <row r="45" spans="2:29" ht="15" thickBot="1" x14ac:dyDescent="0.25">
      <c r="B45" s="289"/>
      <c r="C45" s="289"/>
      <c r="D45" s="290"/>
      <c r="E45" s="297"/>
      <c r="F45" s="292"/>
      <c r="G45" s="292"/>
      <c r="H45" s="292"/>
      <c r="I45" s="292"/>
      <c r="J45" s="292"/>
      <c r="K45" s="225"/>
    </row>
    <row r="46" spans="2:29" ht="15" thickBot="1" x14ac:dyDescent="0.25">
      <c r="B46" s="289" t="s">
        <v>30</v>
      </c>
      <c r="C46" s="289"/>
      <c r="D46" s="290"/>
      <c r="E46" s="302">
        <f>+COUNTIFS(heroes[Crest Set],'Total Crests'!$K46,heroes[Crest Level],'Total Crests'!$E$43,heroes[Lock Crest?],"Y")</f>
        <v>0</v>
      </c>
      <c r="F46" s="291">
        <f>+COUNTIFS(heroes[Crest Set],'Total Crests'!$K46,heroes[Crest Level],'Total Crests'!$F$43,heroes[Lock Crest?],"Y")</f>
        <v>0</v>
      </c>
      <c r="G46" s="291">
        <f>+COUNTIFS(heroes[Crest Set],'Total Crests'!$K46,heroes[Crest Level],'Total Crests'!$G$43,heroes[Lock Crest?],"Y")</f>
        <v>0</v>
      </c>
      <c r="H46" s="291">
        <f>+COUNTIFS(heroes[Crest Set],'Total Crests'!$K46,heroes[Crest Level],'Total Crests'!$H$43,heroes[Lock Crest?],"Y")</f>
        <v>0</v>
      </c>
      <c r="I46" s="291">
        <f>+COUNTIFS(heroes[Crest Set],'Total Crests'!$K46,heroes[Crest Level],'Total Crests'!$I$43,heroes[Lock Crest?],"Y")</f>
        <v>0</v>
      </c>
      <c r="J46" s="291">
        <f t="shared" ref="J46" si="0">+E46+F46*4+G46*16+H46*64+I46*256</f>
        <v>0</v>
      </c>
      <c r="K46" s="225" t="s">
        <v>30</v>
      </c>
    </row>
    <row r="47" spans="2:29" ht="15" thickBot="1" x14ac:dyDescent="0.25">
      <c r="B47" s="289"/>
      <c r="C47" s="289"/>
      <c r="D47" s="290"/>
      <c r="E47" s="297"/>
      <c r="F47" s="292"/>
      <c r="G47" s="292"/>
      <c r="H47" s="292"/>
      <c r="I47" s="292"/>
      <c r="J47" s="292"/>
      <c r="K47" s="225"/>
    </row>
    <row r="48" spans="2:29" ht="15" thickBot="1" x14ac:dyDescent="0.25">
      <c r="B48" s="289" t="s">
        <v>36</v>
      </c>
      <c r="C48" s="289"/>
      <c r="D48" s="290"/>
      <c r="E48" s="302">
        <f>+COUNTIFS(heroes[Crest Set],'Total Crests'!$K48,heroes[Crest Level],'Total Crests'!$E$43,heroes[Lock Crest?],"Y")</f>
        <v>0</v>
      </c>
      <c r="F48" s="291">
        <f>+COUNTIFS(heroes[Crest Set],'Total Crests'!$K48,heroes[Crest Level],'Total Crests'!$F$43,heroes[Lock Crest?],"Y")</f>
        <v>0</v>
      </c>
      <c r="G48" s="291">
        <f>+COUNTIFS(heroes[Crest Set],'Total Crests'!$K48,heroes[Crest Level],'Total Crests'!$G$43,heroes[Lock Crest?],"Y")</f>
        <v>0</v>
      </c>
      <c r="H48" s="291">
        <f>+COUNTIFS(heroes[Crest Set],'Total Crests'!$K48,heroes[Crest Level],'Total Crests'!$H$43,heroes[Lock Crest?],"Y")</f>
        <v>1</v>
      </c>
      <c r="I48" s="291">
        <f>+COUNTIFS(heroes[Crest Set],'Total Crests'!$K48,heroes[Crest Level],'Total Crests'!$I$43,heroes[Lock Crest?],"Y")</f>
        <v>0</v>
      </c>
      <c r="J48" s="291">
        <f t="shared" ref="J48" si="1">+E48+F48*4+G48*16+H48*64+I48*256</f>
        <v>64</v>
      </c>
      <c r="K48" s="225" t="s">
        <v>36</v>
      </c>
    </row>
    <row r="49" spans="2:11" ht="15" thickBot="1" x14ac:dyDescent="0.25">
      <c r="B49" s="289"/>
      <c r="C49" s="289"/>
      <c r="D49" s="290"/>
      <c r="E49" s="297"/>
      <c r="F49" s="292"/>
      <c r="G49" s="292"/>
      <c r="H49" s="292"/>
      <c r="I49" s="292"/>
      <c r="J49" s="292"/>
      <c r="K49" s="225"/>
    </row>
    <row r="50" spans="2:11" ht="15" thickBot="1" x14ac:dyDescent="0.25">
      <c r="B50" s="289" t="s">
        <v>42</v>
      </c>
      <c r="C50" s="289"/>
      <c r="D50" s="290"/>
      <c r="E50" s="302">
        <f>+COUNTIFS(heroes[Crest Set],'Total Crests'!$K50,heroes[Crest Level],'Total Crests'!$E$43,heroes[Lock Crest?],"Y")</f>
        <v>0</v>
      </c>
      <c r="F50" s="291">
        <f>+COUNTIFS(heroes[Crest Set],'Total Crests'!$K50,heroes[Crest Level],'Total Crests'!$F$43,heroes[Lock Crest?],"Y")</f>
        <v>0</v>
      </c>
      <c r="G50" s="291">
        <f>+COUNTIFS(heroes[Crest Set],'Total Crests'!$K50,heroes[Crest Level],'Total Crests'!$G$43,heroes[Lock Crest?],"Y")</f>
        <v>0</v>
      </c>
      <c r="H50" s="291">
        <f>+COUNTIFS(heroes[Crest Set],'Total Crests'!$K50,heroes[Crest Level],'Total Crests'!$H$43,heroes[Lock Crest?],"Y")</f>
        <v>0</v>
      </c>
      <c r="I50" s="291">
        <f>+COUNTIFS(heroes[Crest Set],'Total Crests'!$K50,heroes[Crest Level],'Total Crests'!$I$43,heroes[Lock Crest?],"Y")</f>
        <v>0</v>
      </c>
      <c r="J50" s="291">
        <f t="shared" ref="J50" si="2">+E50+F50*4+G50*16+H50*64+I50*256</f>
        <v>0</v>
      </c>
      <c r="K50" s="225" t="s">
        <v>42</v>
      </c>
    </row>
    <row r="51" spans="2:11" ht="15" thickBot="1" x14ac:dyDescent="0.25">
      <c r="B51" s="289"/>
      <c r="C51" s="289"/>
      <c r="D51" s="290"/>
      <c r="E51" s="297"/>
      <c r="F51" s="292"/>
      <c r="G51" s="292"/>
      <c r="H51" s="292"/>
      <c r="I51" s="292"/>
      <c r="J51" s="292"/>
      <c r="K51" s="225"/>
    </row>
    <row r="52" spans="2:11" ht="15" thickBot="1" x14ac:dyDescent="0.25">
      <c r="B52" s="289" t="s">
        <v>44</v>
      </c>
      <c r="C52" s="289"/>
      <c r="D52" s="290"/>
      <c r="E52" s="302">
        <f>+COUNTIFS(heroes[Crest Set],'Total Crests'!$K52,heroes[Crest Level],'Total Crests'!$E$43,heroes[Lock Crest?],"Y")</f>
        <v>0</v>
      </c>
      <c r="F52" s="291">
        <f>+COUNTIFS(heroes[Crest Set],'Total Crests'!$K52,heroes[Crest Level],'Total Crests'!$F$43,heroes[Lock Crest?],"Y")</f>
        <v>0</v>
      </c>
      <c r="G52" s="291">
        <f>+COUNTIFS(heroes[Crest Set],'Total Crests'!$K52,heroes[Crest Level],'Total Crests'!$G$43,heroes[Lock Crest?],"Y")</f>
        <v>0</v>
      </c>
      <c r="H52" s="291">
        <f>+COUNTIFS(heroes[Crest Set],'Total Crests'!$K52,heroes[Crest Level],'Total Crests'!$H$43,heroes[Lock Crest?],"Y")</f>
        <v>0</v>
      </c>
      <c r="I52" s="291">
        <f>+COUNTIFS(heroes[Crest Set],'Total Crests'!$K52,heroes[Crest Level],'Total Crests'!$I$43,heroes[Lock Crest?],"Y")</f>
        <v>0</v>
      </c>
      <c r="J52" s="291">
        <f t="shared" ref="J52" si="3">+E52+F52*4+G52*16+H52*64+I52*256</f>
        <v>0</v>
      </c>
      <c r="K52" s="225" t="s">
        <v>44</v>
      </c>
    </row>
    <row r="53" spans="2:11" ht="15" thickBot="1" x14ac:dyDescent="0.25">
      <c r="B53" s="289"/>
      <c r="C53" s="289"/>
      <c r="D53" s="290"/>
      <c r="E53" s="297"/>
      <c r="F53" s="292"/>
      <c r="G53" s="292"/>
      <c r="H53" s="292"/>
      <c r="I53" s="292"/>
      <c r="J53" s="292"/>
      <c r="K53" s="225"/>
    </row>
    <row r="54" spans="2:11" ht="15" thickBot="1" x14ac:dyDescent="0.25">
      <c r="B54" s="289" t="s">
        <v>22</v>
      </c>
      <c r="C54" s="289"/>
      <c r="D54" s="290"/>
      <c r="E54" s="302">
        <f>+COUNTIFS(heroes[Crest Set],'Total Crests'!$K54,heroes[Crest Level],'Total Crests'!$E$43,heroes[Lock Crest?],"Y")</f>
        <v>0</v>
      </c>
      <c r="F54" s="291">
        <f>+COUNTIFS(heroes[Crest Set],'Total Crests'!$K54,heroes[Crest Level],'Total Crests'!$F$43,heroes[Lock Crest?],"Y")</f>
        <v>0</v>
      </c>
      <c r="G54" s="291">
        <f>+COUNTIFS(heroes[Crest Set],'Total Crests'!$K54,heroes[Crest Level],'Total Crests'!$G$43,heroes[Lock Crest?],"Y")</f>
        <v>0</v>
      </c>
      <c r="H54" s="291">
        <f>+COUNTIFS(heroes[Crest Set],'Total Crests'!$K54,heroes[Crest Level],'Total Crests'!$H$43,heroes[Lock Crest?],"Y")</f>
        <v>0</v>
      </c>
      <c r="I54" s="291">
        <f>+COUNTIFS(heroes[Crest Set],'Total Crests'!$K54,heroes[Crest Level],'Total Crests'!$I$43,heroes[Lock Crest?],"Y")</f>
        <v>0</v>
      </c>
      <c r="J54" s="291">
        <f t="shared" ref="J54" si="4">+E54+F54*4+G54*16+H54*64+I54*256</f>
        <v>0</v>
      </c>
      <c r="K54" s="225" t="s">
        <v>22</v>
      </c>
    </row>
    <row r="55" spans="2:11" ht="15" thickBot="1" x14ac:dyDescent="0.25">
      <c r="B55" s="289"/>
      <c r="C55" s="289"/>
      <c r="D55" s="290"/>
      <c r="E55" s="297"/>
      <c r="F55" s="292"/>
      <c r="G55" s="292"/>
      <c r="H55" s="292"/>
      <c r="I55" s="292"/>
      <c r="J55" s="292"/>
      <c r="K55" s="225"/>
    </row>
    <row r="56" spans="2:11" ht="15" thickBot="1" x14ac:dyDescent="0.25">
      <c r="B56" s="289" t="s">
        <v>26</v>
      </c>
      <c r="C56" s="289"/>
      <c r="D56" s="290"/>
      <c r="E56" s="302">
        <f>+COUNTIFS(heroes[Crest Set],'Total Crests'!$K56,heroes[Crest Level],'Total Crests'!$E$43,heroes[Lock Crest?],"Y")</f>
        <v>0</v>
      </c>
      <c r="F56" s="291">
        <f>+COUNTIFS(heroes[Crest Set],'Total Crests'!$K56,heroes[Crest Level],'Total Crests'!$F$43,heroes[Lock Crest?],"Y")</f>
        <v>0</v>
      </c>
      <c r="G56" s="291">
        <f>+COUNTIFS(heroes[Crest Set],'Total Crests'!$K56,heroes[Crest Level],'Total Crests'!$G$43,heroes[Lock Crest?],"Y")</f>
        <v>0</v>
      </c>
      <c r="H56" s="291">
        <f>+COUNTIFS(heroes[Crest Set],'Total Crests'!$K56,heroes[Crest Level],'Total Crests'!$H$43,heroes[Lock Crest?],"Y")</f>
        <v>0</v>
      </c>
      <c r="I56" s="291">
        <f>+COUNTIFS(heroes[Crest Set],'Total Crests'!$K56,heroes[Crest Level],'Total Crests'!$I$43,heroes[Lock Crest?],"Y")</f>
        <v>0</v>
      </c>
      <c r="J56" s="291">
        <f t="shared" ref="J56" si="5">+E56+F56*4+G56*16+H56*64+I56*256</f>
        <v>0</v>
      </c>
      <c r="K56" s="225" t="s">
        <v>26</v>
      </c>
    </row>
    <row r="57" spans="2:11" ht="15" thickBot="1" x14ac:dyDescent="0.25">
      <c r="B57" s="289"/>
      <c r="C57" s="289"/>
      <c r="D57" s="290"/>
      <c r="E57" s="297"/>
      <c r="F57" s="292"/>
      <c r="G57" s="292"/>
      <c r="H57" s="292"/>
      <c r="I57" s="292"/>
      <c r="J57" s="292"/>
      <c r="K57" s="225"/>
    </row>
    <row r="58" spans="2:11" ht="15" thickBot="1" x14ac:dyDescent="0.25">
      <c r="B58" s="289" t="s">
        <v>13</v>
      </c>
      <c r="C58" s="289"/>
      <c r="D58" s="290"/>
      <c r="E58" s="302">
        <f>+COUNTIFS(heroes[Crest Set],'Total Crests'!$K58,heroes[Crest Level],'Total Crests'!$E$43,heroes[Lock Crest?],"Y")</f>
        <v>0</v>
      </c>
      <c r="F58" s="291">
        <f>+COUNTIFS(heroes[Crest Set],'Total Crests'!$K58,heroes[Crest Level],'Total Crests'!$F$43,heroes[Lock Crest?],"Y")</f>
        <v>0</v>
      </c>
      <c r="G58" s="291">
        <f>+COUNTIFS(heroes[Crest Set],'Total Crests'!$K58,heroes[Crest Level],'Total Crests'!$G$43,heroes[Lock Crest?],"Y")</f>
        <v>0</v>
      </c>
      <c r="H58" s="291">
        <f>+COUNTIFS(heroes[Crest Set],'Total Crests'!$K58,heroes[Crest Level],'Total Crests'!$H$43,heroes[Lock Crest?],"Y")</f>
        <v>0</v>
      </c>
      <c r="I58" s="291">
        <f>+COUNTIFS(heroes[Crest Set],'Total Crests'!$K58,heroes[Crest Level],'Total Crests'!$I$43,heroes[Lock Crest?],"Y")</f>
        <v>0</v>
      </c>
      <c r="J58" s="291">
        <f t="shared" ref="J58" si="6">+E58+F58*4+G58*16+H58*64+I58*256</f>
        <v>0</v>
      </c>
      <c r="K58" s="225" t="s">
        <v>13</v>
      </c>
    </row>
    <row r="59" spans="2:11" ht="15" thickBot="1" x14ac:dyDescent="0.25">
      <c r="B59" s="289"/>
      <c r="C59" s="289"/>
      <c r="D59" s="290"/>
      <c r="E59" s="297"/>
      <c r="F59" s="292"/>
      <c r="G59" s="292"/>
      <c r="H59" s="292"/>
      <c r="I59" s="292"/>
      <c r="J59" s="292"/>
      <c r="K59" s="225"/>
    </row>
    <row r="60" spans="2:11" ht="15" thickBot="1" x14ac:dyDescent="0.25">
      <c r="B60" s="289" t="s">
        <v>40</v>
      </c>
      <c r="C60" s="289"/>
      <c r="D60" s="290"/>
      <c r="E60" s="302">
        <f>+COUNTIFS(heroes[Crest Set],'Total Crests'!$K60,heroes[Crest Level],'Total Crests'!$E$43,heroes[Lock Crest?],"Y")</f>
        <v>0</v>
      </c>
      <c r="F60" s="291">
        <f>+COUNTIFS(heroes[Crest Set],'Total Crests'!$K60,heroes[Crest Level],'Total Crests'!$F$43,heroes[Lock Crest?],"Y")</f>
        <v>0</v>
      </c>
      <c r="G60" s="291">
        <f>+COUNTIFS(heroes[Crest Set],'Total Crests'!$K60,heroes[Crest Level],'Total Crests'!$G$43,heroes[Lock Crest?],"Y")</f>
        <v>0</v>
      </c>
      <c r="H60" s="291">
        <f>+COUNTIFS(heroes[Crest Set],'Total Crests'!$K60,heroes[Crest Level],'Total Crests'!$H$43,heroes[Lock Crest?],"Y")</f>
        <v>1</v>
      </c>
      <c r="I60" s="291">
        <f>+COUNTIFS(heroes[Crest Set],'Total Crests'!$K60,heroes[Crest Level],'Total Crests'!$I$43,heroes[Lock Crest?],"Y")</f>
        <v>0</v>
      </c>
      <c r="J60" s="291">
        <f t="shared" ref="J60" si="7">+E60+F60*4+G60*16+H60*64+I60*256</f>
        <v>64</v>
      </c>
      <c r="K60" s="225" t="s">
        <v>40</v>
      </c>
    </row>
    <row r="61" spans="2:11" ht="15" thickBot="1" x14ac:dyDescent="0.25">
      <c r="B61" s="289"/>
      <c r="C61" s="289"/>
      <c r="D61" s="290"/>
      <c r="E61" s="297"/>
      <c r="F61" s="292"/>
      <c r="G61" s="292"/>
      <c r="H61" s="292"/>
      <c r="I61" s="292"/>
      <c r="J61" s="292"/>
      <c r="K61" s="225"/>
    </row>
    <row r="62" spans="2:11" ht="15" thickBot="1" x14ac:dyDescent="0.25">
      <c r="B62" s="289" t="s">
        <v>46</v>
      </c>
      <c r="C62" s="289"/>
      <c r="D62" s="290"/>
      <c r="E62" s="302">
        <f>+COUNTIFS(heroes[Crest Set],'Total Crests'!$K62,heroes[Crest Level],'Total Crests'!$E$43,heroes[Lock Crest?],"Y")</f>
        <v>0</v>
      </c>
      <c r="F62" s="291">
        <f>+COUNTIFS(heroes[Crest Set],'Total Crests'!$K62,heroes[Crest Level],'Total Crests'!$F$43,heroes[Lock Crest?],"Y")</f>
        <v>0</v>
      </c>
      <c r="G62" s="291">
        <f>+COUNTIFS(heroes[Crest Set],'Total Crests'!$K62,heroes[Crest Level],'Total Crests'!$G$43,heroes[Lock Crest?],"Y")</f>
        <v>0</v>
      </c>
      <c r="H62" s="291">
        <f>+COUNTIFS(heroes[Crest Set],'Total Crests'!$K62,heroes[Crest Level],'Total Crests'!$H$43,heroes[Lock Crest?],"Y")</f>
        <v>0</v>
      </c>
      <c r="I62" s="291">
        <f>+COUNTIFS(heroes[Crest Set],'Total Crests'!$K62,heroes[Crest Level],'Total Crests'!$I$43,heroes[Lock Crest?],"Y")</f>
        <v>0</v>
      </c>
      <c r="J62" s="291">
        <f t="shared" ref="J62" si="8">+E62+F62*4+G62*16+H62*64+I62*256</f>
        <v>0</v>
      </c>
      <c r="K62" s="225" t="s">
        <v>46</v>
      </c>
    </row>
    <row r="63" spans="2:11" ht="15" thickBot="1" x14ac:dyDescent="0.25">
      <c r="B63" s="289"/>
      <c r="C63" s="289"/>
      <c r="D63" s="290"/>
      <c r="E63" s="297"/>
      <c r="F63" s="292"/>
      <c r="G63" s="292"/>
      <c r="H63" s="292"/>
      <c r="I63" s="292"/>
      <c r="J63" s="292"/>
      <c r="K63" s="225"/>
    </row>
    <row r="64" spans="2:11" ht="15" thickBot="1" x14ac:dyDescent="0.25">
      <c r="B64" s="289" t="s">
        <v>48</v>
      </c>
      <c r="C64" s="289"/>
      <c r="D64" s="290"/>
      <c r="E64" s="302">
        <f>+COUNTIFS(heroes[Crest Set],'Total Crests'!$K64,heroes[Crest Level],'Total Crests'!$E$43,heroes[Lock Crest?],"Y")</f>
        <v>0</v>
      </c>
      <c r="F64" s="291">
        <f>+COUNTIFS(heroes[Crest Set],'Total Crests'!$K64,heroes[Crest Level],'Total Crests'!$F$43,heroes[Lock Crest?],"Y")</f>
        <v>0</v>
      </c>
      <c r="G64" s="291">
        <f>+COUNTIFS(heroes[Crest Set],'Total Crests'!$K64,heroes[Crest Level],'Total Crests'!$G$43,heroes[Lock Crest?],"Y")</f>
        <v>0</v>
      </c>
      <c r="H64" s="291">
        <f>+COUNTIFS(heroes[Crest Set],'Total Crests'!$K64,heroes[Crest Level],'Total Crests'!$H$43,heroes[Lock Crest?],"Y")</f>
        <v>0</v>
      </c>
      <c r="I64" s="291">
        <f>+COUNTIFS(heroes[Crest Set],'Total Crests'!$K64,heroes[Crest Level],'Total Crests'!$I$43,heroes[Lock Crest?],"Y")</f>
        <v>0</v>
      </c>
      <c r="J64" s="291">
        <f t="shared" ref="J64" si="9">+E64+F64*4+G64*16+H64*64+I64*256</f>
        <v>0</v>
      </c>
      <c r="K64" s="225" t="s">
        <v>48</v>
      </c>
    </row>
    <row r="65" spans="2:11" ht="15" thickBot="1" x14ac:dyDescent="0.25">
      <c r="B65" s="289"/>
      <c r="C65" s="289"/>
      <c r="D65" s="290"/>
      <c r="E65" s="297"/>
      <c r="F65" s="292"/>
      <c r="G65" s="292"/>
      <c r="H65" s="292"/>
      <c r="I65" s="292"/>
      <c r="J65" s="292"/>
      <c r="K65" s="225"/>
    </row>
    <row r="66" spans="2:11" ht="15" thickBot="1" x14ac:dyDescent="0.25">
      <c r="B66" s="289" t="s">
        <v>8</v>
      </c>
      <c r="C66" s="289"/>
      <c r="D66" s="290"/>
      <c r="E66" s="302">
        <f>+COUNTIFS(heroes[Crest Set],'Total Crests'!$K66,heroes[Crest Level],'Total Crests'!$E$43,heroes[Lock Crest?],"Y")</f>
        <v>0</v>
      </c>
      <c r="F66" s="291">
        <f>+COUNTIFS(heroes[Crest Set],'Total Crests'!$K66,heroes[Crest Level],'Total Crests'!$F$43,heroes[Lock Crest?],"Y")</f>
        <v>0</v>
      </c>
      <c r="G66" s="291">
        <f>+COUNTIFS(heroes[Crest Set],'Total Crests'!$K66,heroes[Crest Level],'Total Crests'!$G$43,heroes[Lock Crest?],"Y")</f>
        <v>0</v>
      </c>
      <c r="H66" s="291">
        <f>+COUNTIFS(heroes[Crest Set],'Total Crests'!$K66,heroes[Crest Level],'Total Crests'!$H$43,heroes[Lock Crest?],"Y")</f>
        <v>1</v>
      </c>
      <c r="I66" s="291">
        <f>+COUNTIFS(heroes[Crest Set],'Total Crests'!$K66,heroes[Crest Level],'Total Crests'!$I$43,heroes[Lock Crest?],"Y")</f>
        <v>0</v>
      </c>
      <c r="J66" s="291">
        <f t="shared" ref="J66" si="10">+E66+F66*4+G66*16+H66*64+I66*256</f>
        <v>64</v>
      </c>
      <c r="K66" s="225" t="s">
        <v>8</v>
      </c>
    </row>
    <row r="67" spans="2:11" ht="15" thickBot="1" x14ac:dyDescent="0.25">
      <c r="B67" s="289"/>
      <c r="C67" s="289"/>
      <c r="D67" s="290"/>
      <c r="E67" s="297"/>
      <c r="F67" s="292"/>
      <c r="G67" s="292"/>
      <c r="H67" s="292"/>
      <c r="I67" s="292"/>
      <c r="J67" s="292"/>
      <c r="K67" s="225"/>
    </row>
    <row r="68" spans="2:11" ht="15" thickBot="1" x14ac:dyDescent="0.25">
      <c r="B68" s="289" t="s">
        <v>50</v>
      </c>
      <c r="C68" s="289"/>
      <c r="D68" s="290"/>
      <c r="E68" s="302">
        <f>+COUNTIFS(heroes[Crest Set],'Total Crests'!$K68,heroes[Crest Level],'Total Crests'!$E$43,heroes[Lock Crest?],"Y")</f>
        <v>0</v>
      </c>
      <c r="F68" s="291">
        <f>+COUNTIFS(heroes[Crest Set],'Total Crests'!$K68,heroes[Crest Level],'Total Crests'!$F$43,heroes[Lock Crest?],"Y")</f>
        <v>0</v>
      </c>
      <c r="G68" s="291">
        <f>+COUNTIFS(heroes[Crest Set],'Total Crests'!$K68,heroes[Crest Level],'Total Crests'!$G$43,heroes[Lock Crest?],"Y")</f>
        <v>0</v>
      </c>
      <c r="H68" s="291">
        <f>+COUNTIFS(heroes[Crest Set],'Total Crests'!$K68,heroes[Crest Level],'Total Crests'!$H$43,heroes[Lock Crest?],"Y")</f>
        <v>0</v>
      </c>
      <c r="I68" s="291">
        <f>+COUNTIFS(heroes[Crest Set],'Total Crests'!$K68,heroes[Crest Level],'Total Crests'!$I$43,heroes[Lock Crest?],"Y")</f>
        <v>0</v>
      </c>
      <c r="J68" s="291">
        <f t="shared" ref="J68" si="11">+E68+F68*4+G68*16+H68*64+I68*256</f>
        <v>0</v>
      </c>
      <c r="K68" s="225" t="s">
        <v>50</v>
      </c>
    </row>
    <row r="69" spans="2:11" ht="15" thickBot="1" x14ac:dyDescent="0.25">
      <c r="B69" s="289"/>
      <c r="C69" s="289"/>
      <c r="D69" s="290"/>
      <c r="E69" s="297"/>
      <c r="F69" s="292"/>
      <c r="G69" s="292"/>
      <c r="H69" s="292"/>
      <c r="I69" s="292"/>
      <c r="J69" s="292"/>
      <c r="K69" s="225"/>
    </row>
    <row r="70" spans="2:11" ht="15" thickBot="1" x14ac:dyDescent="0.25">
      <c r="B70" s="289" t="s">
        <v>54</v>
      </c>
      <c r="C70" s="289"/>
      <c r="D70" s="290"/>
      <c r="E70" s="302">
        <f>+COUNTIFS(heroes[Crest Set],'Total Crests'!$K70,heroes[Crest Level],'Total Crests'!$E$43,heroes[Lock Crest?],"Y")</f>
        <v>0</v>
      </c>
      <c r="F70" s="291">
        <f>+COUNTIFS(heroes[Crest Set],'Total Crests'!$K70,heroes[Crest Level],'Total Crests'!$F$43,heroes[Lock Crest?],"Y")</f>
        <v>0</v>
      </c>
      <c r="G70" s="291">
        <f>+COUNTIFS(heroes[Crest Set],'Total Crests'!$K70,heroes[Crest Level],'Total Crests'!$G$43,heroes[Lock Crest?],"Y")</f>
        <v>0</v>
      </c>
      <c r="H70" s="291">
        <f>+COUNTIFS(heroes[Crest Set],'Total Crests'!$K70,heroes[Crest Level],'Total Crests'!$H$43,heroes[Lock Crest?],"Y")</f>
        <v>1</v>
      </c>
      <c r="I70" s="291">
        <f>+COUNTIFS(heroes[Crest Set],'Total Crests'!$K70,heroes[Crest Level],'Total Crests'!$I$43,heroes[Lock Crest?],"Y")</f>
        <v>0</v>
      </c>
      <c r="J70" s="291">
        <f t="shared" ref="J70" si="12">+E70+F70*4+G70*16+H70*64+I70*256</f>
        <v>64</v>
      </c>
      <c r="K70" s="225" t="s">
        <v>54</v>
      </c>
    </row>
    <row r="71" spans="2:11" ht="15" thickBot="1" x14ac:dyDescent="0.25">
      <c r="B71" s="289"/>
      <c r="C71" s="289"/>
      <c r="D71" s="290"/>
      <c r="E71" s="297"/>
      <c r="F71" s="292"/>
      <c r="G71" s="292"/>
      <c r="H71" s="292"/>
      <c r="I71" s="292"/>
      <c r="J71" s="292"/>
      <c r="K71" s="225"/>
    </row>
    <row r="72" spans="2:11" ht="15" thickBot="1" x14ac:dyDescent="0.25">
      <c r="B72" s="289" t="s">
        <v>52</v>
      </c>
      <c r="C72" s="289"/>
      <c r="D72" s="290"/>
      <c r="E72" s="302">
        <f>+COUNTIFS(heroes[Crest Set],'Total Crests'!$K72,heroes[Crest Level],'Total Crests'!$E$43,heroes[Lock Crest?],"Y")</f>
        <v>0</v>
      </c>
      <c r="F72" s="291">
        <f>+COUNTIFS(heroes[Crest Set],'Total Crests'!$K72,heroes[Crest Level],'Total Crests'!$F$43,heroes[Lock Crest?],"Y")</f>
        <v>0</v>
      </c>
      <c r="G72" s="291">
        <f>+COUNTIFS(heroes[Crest Set],'Total Crests'!$K72,heroes[Crest Level],'Total Crests'!$G$43,heroes[Lock Crest?],"Y")</f>
        <v>0</v>
      </c>
      <c r="H72" s="291">
        <f>+COUNTIFS(heroes[Crest Set],'Total Crests'!$K72,heroes[Crest Level],'Total Crests'!$H$43,heroes[Lock Crest?],"Y")</f>
        <v>0</v>
      </c>
      <c r="I72" s="291">
        <f>+COUNTIFS(heroes[Crest Set],'Total Crests'!$K72,heroes[Crest Level],'Total Crests'!$I$43,heroes[Lock Crest?],"Y")</f>
        <v>0</v>
      </c>
      <c r="J72" s="291">
        <f t="shared" ref="J72" si="13">+E72+F72*4+G72*16+H72*64+I72*256</f>
        <v>0</v>
      </c>
      <c r="K72" s="225" t="s">
        <v>52</v>
      </c>
    </row>
    <row r="73" spans="2:11" ht="15" thickBot="1" x14ac:dyDescent="0.25">
      <c r="B73" s="289"/>
      <c r="C73" s="289"/>
      <c r="D73" s="290"/>
      <c r="E73" s="297"/>
      <c r="F73" s="292"/>
      <c r="G73" s="292"/>
      <c r="H73" s="292"/>
      <c r="I73" s="292"/>
      <c r="J73" s="292"/>
      <c r="K73" s="225"/>
    </row>
    <row r="74" spans="2:11" ht="15" thickBot="1" x14ac:dyDescent="0.25">
      <c r="B74" s="289" t="s">
        <v>32</v>
      </c>
      <c r="C74" s="289"/>
      <c r="D74" s="290"/>
      <c r="E74" s="302">
        <f>+COUNTIFS(heroes[Crest Set],'Total Crests'!$K74,heroes[Crest Level],'Total Crests'!$E$43,heroes[Lock Crest?],"Y")</f>
        <v>0</v>
      </c>
      <c r="F74" s="291">
        <f>+COUNTIFS(heroes[Crest Set],'Total Crests'!$K74,heroes[Crest Level],'Total Crests'!$F$43,heroes[Lock Crest?],"Y")</f>
        <v>0</v>
      </c>
      <c r="G74" s="291">
        <f>+COUNTIFS(heroes[Crest Set],'Total Crests'!$K74,heroes[Crest Level],'Total Crests'!$G$43,heroes[Lock Crest?],"Y")</f>
        <v>0</v>
      </c>
      <c r="H74" s="304">
        <f>+COUNTIFS(heroes[Crest Set],'Total Crests'!$K74,heroes[Crest Level],'Total Crests'!$H$43,heroes[Lock Crest?],"Y")</f>
        <v>1</v>
      </c>
      <c r="I74" s="291">
        <f>+COUNTIFS(heroes[Crest Set],'Total Crests'!$K74,heroes[Crest Level],'Total Crests'!$I$43,heroes[Lock Crest?],"Y")</f>
        <v>0</v>
      </c>
      <c r="J74" s="291">
        <f t="shared" ref="J74" si="14">+E74+F74*4+G74*16+H74*64+I74*256</f>
        <v>64</v>
      </c>
      <c r="K74" s="225" t="s">
        <v>32</v>
      </c>
    </row>
    <row r="75" spans="2:11" ht="15" thickBot="1" x14ac:dyDescent="0.25">
      <c r="B75" s="289"/>
      <c r="C75" s="289"/>
      <c r="D75" s="290"/>
      <c r="E75" s="297"/>
      <c r="F75" s="292"/>
      <c r="G75" s="292"/>
      <c r="H75" s="304"/>
      <c r="I75" s="292"/>
      <c r="J75" s="292"/>
      <c r="K75" s="225"/>
    </row>
    <row r="76" spans="2:11" ht="15" thickBot="1" x14ac:dyDescent="0.25">
      <c r="B76" s="289" t="s">
        <v>16</v>
      </c>
      <c r="C76" s="289"/>
      <c r="D76" s="290"/>
      <c r="E76" s="302">
        <f>+COUNTIFS(heroes[Crest Set],'Total Crests'!$K76,heroes[Crest Level],'Total Crests'!$E$43,heroes[Lock Crest?],"Y")</f>
        <v>0</v>
      </c>
      <c r="F76" s="291">
        <f>+COUNTIFS(heroes[Crest Set],'Total Crests'!$K76,heroes[Crest Level],'Total Crests'!$F$43,heroes[Lock Crest?],"Y")</f>
        <v>0</v>
      </c>
      <c r="G76" s="291">
        <f>+COUNTIFS(heroes[Crest Set],'Total Crests'!$K76,heroes[Crest Level],'Total Crests'!$G$43,heroes[Lock Crest?],"Y")</f>
        <v>0</v>
      </c>
      <c r="H76" s="304">
        <f>+COUNTIFS(heroes[Crest Set],'Total Crests'!$K76,heroes[Crest Level],'Total Crests'!$H$43,heroes[Lock Crest?],"Y")</f>
        <v>1</v>
      </c>
      <c r="I76" s="304">
        <f>+COUNTIFS(heroes[Crest Set],'Total Crests'!$K76,heroes[Crest Level],'Total Crests'!$I$43,heroes[Lock Crest?],"Y")</f>
        <v>0</v>
      </c>
      <c r="J76" s="291">
        <f t="shared" ref="J76" si="15">+E76+F76*4+G76*16+H76*64+I76*256</f>
        <v>64</v>
      </c>
      <c r="K76" s="225" t="s">
        <v>16</v>
      </c>
    </row>
    <row r="77" spans="2:11" ht="15" thickBot="1" x14ac:dyDescent="0.25">
      <c r="B77" s="289"/>
      <c r="C77" s="289"/>
      <c r="D77" s="290"/>
      <c r="E77" s="297"/>
      <c r="F77" s="292"/>
      <c r="G77" s="292"/>
      <c r="H77" s="304"/>
      <c r="I77" s="304"/>
      <c r="J77" s="292"/>
      <c r="K77" s="225"/>
    </row>
    <row r="78" spans="2:11" ht="15" thickBot="1" x14ac:dyDescent="0.25">
      <c r="B78" s="289" t="s">
        <v>34</v>
      </c>
      <c r="C78" s="289"/>
      <c r="D78" s="290"/>
      <c r="E78" s="302">
        <f>+COUNTIFS(heroes[Crest Set],'Total Crests'!$K78,heroes[Crest Level],'Total Crests'!$E$43,heroes[Lock Crest?],"Y")</f>
        <v>1</v>
      </c>
      <c r="F78" s="291">
        <f>+COUNTIFS(heroes[Crest Set],'Total Crests'!$K78,heroes[Crest Level],'Total Crests'!$F$43,heroes[Lock Crest?],"Y")</f>
        <v>0</v>
      </c>
      <c r="G78" s="291">
        <f>+COUNTIFS(heroes[Crest Set],'Total Crests'!$K78,heroes[Crest Level],'Total Crests'!$G$43,heroes[Lock Crest?],"Y")</f>
        <v>0</v>
      </c>
      <c r="H78" s="291">
        <f>+COUNTIFS(heroes[Crest Set],'Total Crests'!$K78,heroes[Crest Level],'Total Crests'!$H$43,heroes[Lock Crest?],"Y")</f>
        <v>0</v>
      </c>
      <c r="I78" s="291">
        <f>+COUNTIFS(heroes[Crest Set],'Total Crests'!$K78,heroes[Crest Level],'Total Crests'!$I$43,heroes[Lock Crest?],"Y")</f>
        <v>0</v>
      </c>
      <c r="J78" s="291">
        <f t="shared" ref="J78" si="16">+E78+F78*4+G78*16+H78*64+I78*256</f>
        <v>1</v>
      </c>
      <c r="K78" s="225" t="s">
        <v>34</v>
      </c>
    </row>
    <row r="79" spans="2:11" x14ac:dyDescent="0.2">
      <c r="B79" s="300"/>
      <c r="C79" s="300"/>
      <c r="D79" s="301"/>
      <c r="E79" s="303"/>
      <c r="F79" s="305"/>
      <c r="G79" s="305"/>
      <c r="H79" s="305"/>
      <c r="I79" s="305"/>
      <c r="J79" s="305"/>
    </row>
  </sheetData>
  <sheetProtection selectLockedCells="1" selectUnlockedCells="1"/>
  <mergeCells count="147">
    <mergeCell ref="J74:J75"/>
    <mergeCell ref="J76:J77"/>
    <mergeCell ref="J78:J79"/>
    <mergeCell ref="J64:J65"/>
    <mergeCell ref="J66:J67"/>
    <mergeCell ref="J68:J69"/>
    <mergeCell ref="J70:J71"/>
    <mergeCell ref="J72:J73"/>
    <mergeCell ref="J54:J55"/>
    <mergeCell ref="J56:J57"/>
    <mergeCell ref="J58:J59"/>
    <mergeCell ref="J60:J61"/>
    <mergeCell ref="J62:J63"/>
    <mergeCell ref="G56:G57"/>
    <mergeCell ref="H56:H57"/>
    <mergeCell ref="I56:I57"/>
    <mergeCell ref="H50:H51"/>
    <mergeCell ref="F78:F79"/>
    <mergeCell ref="G78:G79"/>
    <mergeCell ref="H78:H79"/>
    <mergeCell ref="I78:I79"/>
    <mergeCell ref="F68:F69"/>
    <mergeCell ref="G68:G69"/>
    <mergeCell ref="H68:H69"/>
    <mergeCell ref="I68:I69"/>
    <mergeCell ref="F62:F63"/>
    <mergeCell ref="G62:G63"/>
    <mergeCell ref="H62:H63"/>
    <mergeCell ref="I62:I63"/>
    <mergeCell ref="F66:F67"/>
    <mergeCell ref="G66:G67"/>
    <mergeCell ref="H66:H67"/>
    <mergeCell ref="I66:I67"/>
    <mergeCell ref="F70:F71"/>
    <mergeCell ref="G70:G71"/>
    <mergeCell ref="H70:H71"/>
    <mergeCell ref="I70:I71"/>
    <mergeCell ref="F74:F75"/>
    <mergeCell ref="G74:G75"/>
    <mergeCell ref="H74:H75"/>
    <mergeCell ref="I74:I75"/>
    <mergeCell ref="E68:E69"/>
    <mergeCell ref="J44:J45"/>
    <mergeCell ref="J46:J47"/>
    <mergeCell ref="J48:J49"/>
    <mergeCell ref="J50:J51"/>
    <mergeCell ref="J52:J53"/>
    <mergeCell ref="H54:H55"/>
    <mergeCell ref="I54:I55"/>
    <mergeCell ref="H44:H45"/>
    <mergeCell ref="I44:I45"/>
    <mergeCell ref="G58:G59"/>
    <mergeCell ref="H58:H59"/>
    <mergeCell ref="I58:I59"/>
    <mergeCell ref="E60:E61"/>
    <mergeCell ref="F60:F61"/>
    <mergeCell ref="G60:G61"/>
    <mergeCell ref="H60:H61"/>
    <mergeCell ref="I60:I61"/>
    <mergeCell ref="E56:E57"/>
    <mergeCell ref="F56:F57"/>
    <mergeCell ref="I50:I51"/>
    <mergeCell ref="E52:E53"/>
    <mergeCell ref="F52:F53"/>
    <mergeCell ref="G52:G53"/>
    <mergeCell ref="H52:H53"/>
    <mergeCell ref="I52:I53"/>
    <mergeCell ref="B72:D73"/>
    <mergeCell ref="B74:D75"/>
    <mergeCell ref="B76:D77"/>
    <mergeCell ref="E76:E77"/>
    <mergeCell ref="F76:F77"/>
    <mergeCell ref="G76:G77"/>
    <mergeCell ref="H76:H77"/>
    <mergeCell ref="I76:I77"/>
    <mergeCell ref="E64:E65"/>
    <mergeCell ref="F64:F65"/>
    <mergeCell ref="G64:G65"/>
    <mergeCell ref="H64:H65"/>
    <mergeCell ref="I64:I65"/>
    <mergeCell ref="E72:E73"/>
    <mergeCell ref="F72:F73"/>
    <mergeCell ref="G72:G73"/>
    <mergeCell ref="H72:H73"/>
    <mergeCell ref="I72:I73"/>
    <mergeCell ref="B78:D79"/>
    <mergeCell ref="E46:E47"/>
    <mergeCell ref="E48:E49"/>
    <mergeCell ref="E50:E51"/>
    <mergeCell ref="E54:E55"/>
    <mergeCell ref="E58:E59"/>
    <mergeCell ref="E62:E63"/>
    <mergeCell ref="E66:E67"/>
    <mergeCell ref="E70:E71"/>
    <mergeCell ref="E74:E75"/>
    <mergeCell ref="E78:E79"/>
    <mergeCell ref="B62:D63"/>
    <mergeCell ref="B64:D65"/>
    <mergeCell ref="B66:D67"/>
    <mergeCell ref="B68:D69"/>
    <mergeCell ref="B70:D71"/>
    <mergeCell ref="B50:D51"/>
    <mergeCell ref="B52:D53"/>
    <mergeCell ref="B54:D55"/>
    <mergeCell ref="B56:D57"/>
    <mergeCell ref="B58:D59"/>
    <mergeCell ref="B20:B23"/>
    <mergeCell ref="B44:D45"/>
    <mergeCell ref="B46:D47"/>
    <mergeCell ref="B48:D49"/>
    <mergeCell ref="F46:F47"/>
    <mergeCell ref="G46:G47"/>
    <mergeCell ref="H46:H47"/>
    <mergeCell ref="I46:I47"/>
    <mergeCell ref="F48:F49"/>
    <mergeCell ref="G48:G49"/>
    <mergeCell ref="H48:H49"/>
    <mergeCell ref="I48:I49"/>
    <mergeCell ref="E44:E45"/>
    <mergeCell ref="F44:F45"/>
    <mergeCell ref="G44:G45"/>
    <mergeCell ref="B43:D43"/>
    <mergeCell ref="B24:B27"/>
    <mergeCell ref="M2:N2"/>
    <mergeCell ref="B60:D61"/>
    <mergeCell ref="F50:F51"/>
    <mergeCell ref="G50:G51"/>
    <mergeCell ref="F54:F55"/>
    <mergeCell ref="G54:G55"/>
    <mergeCell ref="F58:F59"/>
    <mergeCell ref="AA2:AB2"/>
    <mergeCell ref="P32:P35"/>
    <mergeCell ref="P36:P39"/>
    <mergeCell ref="B28:B31"/>
    <mergeCell ref="B32:B35"/>
    <mergeCell ref="B36:B39"/>
    <mergeCell ref="P4:P7"/>
    <mergeCell ref="P8:P11"/>
    <mergeCell ref="P12:P15"/>
    <mergeCell ref="P16:P19"/>
    <mergeCell ref="P20:P23"/>
    <mergeCell ref="P24:P27"/>
    <mergeCell ref="P28:P31"/>
    <mergeCell ref="B4:B7"/>
    <mergeCell ref="B8:B11"/>
    <mergeCell ref="B12:B15"/>
    <mergeCell ref="B16:B19"/>
  </mergeCells>
  <conditionalFormatting sqref="J4:J7">
    <cfRule type="colorScale" priority="107">
      <colorScale>
        <cfvo type="min"/>
        <cfvo type="percentile" val="50"/>
        <cfvo type="max"/>
        <color rgb="FFF8696B"/>
        <color rgb="FFFFEB84"/>
        <color rgb="FF63BE7B"/>
      </colorScale>
    </cfRule>
  </conditionalFormatting>
  <conditionalFormatting sqref="J8:J11">
    <cfRule type="colorScale" priority="106">
      <colorScale>
        <cfvo type="min"/>
        <cfvo type="percentile" val="50"/>
        <cfvo type="max"/>
        <color rgb="FFF8696B"/>
        <color rgb="FFFFEB84"/>
        <color rgb="FF63BE7B"/>
      </colorScale>
    </cfRule>
  </conditionalFormatting>
  <conditionalFormatting sqref="J12:J15">
    <cfRule type="colorScale" priority="105">
      <colorScale>
        <cfvo type="min"/>
        <cfvo type="percentile" val="50"/>
        <cfvo type="max"/>
        <color rgb="FFF8696B"/>
        <color rgb="FFFFEB84"/>
        <color rgb="FF63BE7B"/>
      </colorScale>
    </cfRule>
  </conditionalFormatting>
  <conditionalFormatting sqref="J16:J19">
    <cfRule type="colorScale" priority="104">
      <colorScale>
        <cfvo type="min"/>
        <cfvo type="percentile" val="50"/>
        <cfvo type="max"/>
        <color rgb="FFF8696B"/>
        <color rgb="FFFFEB84"/>
        <color rgb="FF63BE7B"/>
      </colorScale>
    </cfRule>
  </conditionalFormatting>
  <conditionalFormatting sqref="J20:J23">
    <cfRule type="colorScale" priority="103">
      <colorScale>
        <cfvo type="min"/>
        <cfvo type="percentile" val="50"/>
        <cfvo type="max"/>
        <color rgb="FFF8696B"/>
        <color rgb="FFFFEB84"/>
        <color rgb="FF63BE7B"/>
      </colorScale>
    </cfRule>
  </conditionalFormatting>
  <conditionalFormatting sqref="J24:J27">
    <cfRule type="colorScale" priority="102">
      <colorScale>
        <cfvo type="min"/>
        <cfvo type="percentile" val="50"/>
        <cfvo type="max"/>
        <color rgb="FFF8696B"/>
        <color rgb="FFFFEB84"/>
        <color rgb="FF63BE7B"/>
      </colorScale>
    </cfRule>
  </conditionalFormatting>
  <conditionalFormatting sqref="J28:J31">
    <cfRule type="colorScale" priority="101">
      <colorScale>
        <cfvo type="min"/>
        <cfvo type="percentile" val="50"/>
        <cfvo type="max"/>
        <color rgb="FFF8696B"/>
        <color rgb="FFFFEB84"/>
        <color rgb="FF63BE7B"/>
      </colorScale>
    </cfRule>
  </conditionalFormatting>
  <conditionalFormatting sqref="J32:J35">
    <cfRule type="colorScale" priority="100">
      <colorScale>
        <cfvo type="min"/>
        <cfvo type="percentile" val="50"/>
        <cfvo type="max"/>
        <color rgb="FFF8696B"/>
        <color rgb="FFFFEB84"/>
        <color rgb="FF63BE7B"/>
      </colorScale>
    </cfRule>
  </conditionalFormatting>
  <conditionalFormatting sqref="J36:J39">
    <cfRule type="colorScale" priority="99">
      <colorScale>
        <cfvo type="min"/>
        <cfvo type="percentile" val="50"/>
        <cfvo type="max"/>
        <color rgb="FFF8696B"/>
        <color rgb="FFFFEB84"/>
        <color rgb="FF63BE7B"/>
      </colorScale>
    </cfRule>
  </conditionalFormatting>
  <conditionalFormatting sqref="X4:X7">
    <cfRule type="colorScale" priority="78">
      <colorScale>
        <cfvo type="min"/>
        <cfvo type="percentile" val="50"/>
        <cfvo type="max"/>
        <color rgb="FFF8696B"/>
        <color rgb="FFFFEB84"/>
        <color rgb="FF63BE7B"/>
      </colorScale>
    </cfRule>
  </conditionalFormatting>
  <conditionalFormatting sqref="X8:X11">
    <cfRule type="colorScale" priority="77">
      <colorScale>
        <cfvo type="min"/>
        <cfvo type="percentile" val="50"/>
        <cfvo type="max"/>
        <color rgb="FFF8696B"/>
        <color rgb="FFFFEB84"/>
        <color rgb="FF63BE7B"/>
      </colorScale>
    </cfRule>
  </conditionalFormatting>
  <conditionalFormatting sqref="X12:X15">
    <cfRule type="colorScale" priority="76">
      <colorScale>
        <cfvo type="min"/>
        <cfvo type="percentile" val="50"/>
        <cfvo type="max"/>
        <color rgb="FFF8696B"/>
        <color rgb="FFFFEB84"/>
        <color rgb="FF63BE7B"/>
      </colorScale>
    </cfRule>
  </conditionalFormatting>
  <conditionalFormatting sqref="X16:X19">
    <cfRule type="colorScale" priority="75">
      <colorScale>
        <cfvo type="min"/>
        <cfvo type="percentile" val="50"/>
        <cfvo type="max"/>
        <color rgb="FFF8696B"/>
        <color rgb="FFFFEB84"/>
        <color rgb="FF63BE7B"/>
      </colorScale>
    </cfRule>
  </conditionalFormatting>
  <conditionalFormatting sqref="X20:X23">
    <cfRule type="colorScale" priority="74">
      <colorScale>
        <cfvo type="min"/>
        <cfvo type="percentile" val="50"/>
        <cfvo type="max"/>
        <color rgb="FFF8696B"/>
        <color rgb="FFFFEB84"/>
        <color rgb="FF63BE7B"/>
      </colorScale>
    </cfRule>
  </conditionalFormatting>
  <conditionalFormatting sqref="X24:X27">
    <cfRule type="colorScale" priority="73">
      <colorScale>
        <cfvo type="min"/>
        <cfvo type="percentile" val="50"/>
        <cfvo type="max"/>
        <color rgb="FFF8696B"/>
        <color rgb="FFFFEB84"/>
        <color rgb="FF63BE7B"/>
      </colorScale>
    </cfRule>
  </conditionalFormatting>
  <conditionalFormatting sqref="X28:X31">
    <cfRule type="colorScale" priority="72">
      <colorScale>
        <cfvo type="min"/>
        <cfvo type="percentile" val="50"/>
        <cfvo type="max"/>
        <color rgb="FFF8696B"/>
        <color rgb="FFFFEB84"/>
        <color rgb="FF63BE7B"/>
      </colorScale>
    </cfRule>
  </conditionalFormatting>
  <conditionalFormatting sqref="X32:X35">
    <cfRule type="colorScale" priority="71">
      <colorScale>
        <cfvo type="min"/>
        <cfvo type="percentile" val="50"/>
        <cfvo type="max"/>
        <color rgb="FFF8696B"/>
        <color rgb="FFFFEB84"/>
        <color rgb="FF63BE7B"/>
      </colorScale>
    </cfRule>
  </conditionalFormatting>
  <conditionalFormatting sqref="X36:X39">
    <cfRule type="colorScale" priority="70">
      <colorScale>
        <cfvo type="min"/>
        <cfvo type="percentile" val="50"/>
        <cfvo type="max"/>
        <color rgb="FFF8696B"/>
        <color rgb="FFFFEB84"/>
        <color rgb="FF63BE7B"/>
      </colorScale>
    </cfRule>
  </conditionalFormatting>
  <conditionalFormatting sqref="AB4:AB39">
    <cfRule type="colorScale" priority="67">
      <colorScale>
        <cfvo type="min"/>
        <cfvo type="percentile" val="50"/>
        <cfvo type="max"/>
        <color rgb="FFF8696B"/>
        <color rgb="FFFFEB84"/>
        <color rgb="FF63BE7B"/>
      </colorScale>
    </cfRule>
  </conditionalFormatting>
  <conditionalFormatting sqref="N4:O39">
    <cfRule type="colorScale" priority="109">
      <colorScale>
        <cfvo type="min"/>
        <cfvo type="percentile" val="50"/>
        <cfvo type="max"/>
        <color rgb="FFF8696B"/>
        <color rgb="FFFFEB84"/>
        <color rgb="FF63BE7B"/>
      </colorScale>
    </cfRule>
  </conditionalFormatting>
  <conditionalFormatting sqref="K12:L15">
    <cfRule type="top10" dxfId="151" priority="26" percent="1" bottom="1" rank="1"/>
    <cfRule type="top10" dxfId="150" priority="45" percent="1" rank="99"/>
  </conditionalFormatting>
  <conditionalFormatting sqref="K8:L11">
    <cfRule type="top10" dxfId="149" priority="27" percent="1" bottom="1" rank="1"/>
    <cfRule type="top10" dxfId="148" priority="46" percent="1" rank="99"/>
  </conditionalFormatting>
  <conditionalFormatting sqref="K4:L7">
    <cfRule type="top10" dxfId="147" priority="28" percent="1" bottom="1" rank="1"/>
    <cfRule type="top10" dxfId="146" priority="47" percent="1" rank="99"/>
  </conditionalFormatting>
  <conditionalFormatting sqref="K16:L19">
    <cfRule type="top10" dxfId="145" priority="25" percent="1" bottom="1" rank="1"/>
    <cfRule type="top10" dxfId="144" priority="44" percent="1" rank="99"/>
  </conditionalFormatting>
  <conditionalFormatting sqref="K20:L23">
    <cfRule type="top10" dxfId="143" priority="24" percent="1" bottom="1" rank="1"/>
    <cfRule type="top10" dxfId="142" priority="43" percent="1" rank="99"/>
  </conditionalFormatting>
  <conditionalFormatting sqref="K24:L27">
    <cfRule type="top10" dxfId="141" priority="23" percent="1" bottom="1" rank="1"/>
    <cfRule type="top10" dxfId="140" priority="41" percent="1" rank="99"/>
  </conditionalFormatting>
  <conditionalFormatting sqref="K28:L31">
    <cfRule type="top10" dxfId="139" priority="22" percent="1" bottom="1" rank="1"/>
    <cfRule type="top10" dxfId="138" priority="40" percent="1" rank="99"/>
  </conditionalFormatting>
  <conditionalFormatting sqref="K32:L35">
    <cfRule type="top10" dxfId="137" priority="21" percent="1" bottom="1" rank="1"/>
    <cfRule type="top10" dxfId="136" priority="39" percent="1" rank="99"/>
  </conditionalFormatting>
  <conditionalFormatting sqref="K36:L39">
    <cfRule type="top10" dxfId="135" priority="20" percent="1" bottom="1" rank="1"/>
    <cfRule type="top10" dxfId="134" priority="38" percent="1" rank="99"/>
  </conditionalFormatting>
  <conditionalFormatting sqref="Y4:Z7">
    <cfRule type="top10" dxfId="133" priority="19" percent="1" bottom="1" rank="1"/>
    <cfRule type="top10" dxfId="132" priority="37" percent="1" rank="99"/>
  </conditionalFormatting>
  <conditionalFormatting sqref="Y8:Z11">
    <cfRule type="top10" dxfId="131" priority="18" percent="1" bottom="1" rank="1"/>
    <cfRule type="top10" dxfId="130" priority="36" percent="1" rank="99"/>
  </conditionalFormatting>
  <conditionalFormatting sqref="Y12:Z15">
    <cfRule type="top10" dxfId="129" priority="17" percent="1" bottom="1" rank="1"/>
    <cfRule type="top10" dxfId="128" priority="35" percent="1" rank="99"/>
  </conditionalFormatting>
  <conditionalFormatting sqref="Y16:Z19">
    <cfRule type="top10" dxfId="127" priority="16" percent="1" bottom="1" rank="1"/>
    <cfRule type="top10" dxfId="126" priority="34" percent="1" rank="99"/>
  </conditionalFormatting>
  <conditionalFormatting sqref="Y20:Z23">
    <cfRule type="top10" dxfId="125" priority="15" percent="1" bottom="1" rank="1"/>
    <cfRule type="top10" dxfId="124" priority="33" percent="1" rank="99"/>
  </conditionalFormatting>
  <conditionalFormatting sqref="Y24:Z27">
    <cfRule type="top10" dxfId="123" priority="14" percent="1" bottom="1" rank="1"/>
    <cfRule type="top10" dxfId="122" priority="32" percent="1" rank="99"/>
  </conditionalFormatting>
  <conditionalFormatting sqref="Y28:Z31">
    <cfRule type="top10" dxfId="121" priority="13" percent="1" bottom="1" rank="1"/>
    <cfRule type="top10" dxfId="120" priority="31" percent="1" rank="99"/>
  </conditionalFormatting>
  <conditionalFormatting sqref="Y32:Z35">
    <cfRule type="top10" dxfId="119" priority="12" percent="1" bottom="1" rank="1"/>
    <cfRule type="top10" dxfId="118" priority="30" percent="1" rank="99"/>
  </conditionalFormatting>
  <conditionalFormatting sqref="Y36:Z39">
    <cfRule type="cellIs" dxfId="117" priority="11" operator="equal">
      <formula>0</formula>
    </cfRule>
    <cfRule type="top10" dxfId="116" priority="56" percent="1" rank="10"/>
  </conditionalFormatting>
  <conditionalFormatting sqref="F4:F39">
    <cfRule type="expression" dxfId="115" priority="10">
      <formula>E4&gt;=4</formula>
    </cfRule>
  </conditionalFormatting>
  <conditionalFormatting sqref="G4:G39">
    <cfRule type="expression" dxfId="114" priority="9">
      <formula>SUM(E4+F4*4)&gt;=16</formula>
    </cfRule>
  </conditionalFormatting>
  <conditionalFormatting sqref="H4:H39">
    <cfRule type="expression" dxfId="113" priority="8">
      <formula>SUM(E4+F4*4+G4*16)&gt;=64</formula>
    </cfRule>
  </conditionalFormatting>
  <conditionalFormatting sqref="I4:I39">
    <cfRule type="expression" dxfId="112" priority="7">
      <formula>SUM(E4+F4*4+G4*16+H5*64)&gt;=256</formula>
    </cfRule>
  </conditionalFormatting>
  <conditionalFormatting sqref="T4:T39">
    <cfRule type="expression" dxfId="111" priority="6">
      <formula>S4&gt;=4</formula>
    </cfRule>
  </conditionalFormatting>
  <conditionalFormatting sqref="U4:U39">
    <cfRule type="expression" dxfId="110" priority="5">
      <formula>SUM(S4+T4*4)&gt;=16</formula>
    </cfRule>
  </conditionalFormatting>
  <conditionalFormatting sqref="V4:V39">
    <cfRule type="expression" dxfId="109" priority="4">
      <formula>SUM(S4+T4*4+U4*16)&gt;=64</formula>
    </cfRule>
  </conditionalFormatting>
  <conditionalFormatting sqref="W4:W39">
    <cfRule type="expression" dxfId="108" priority="3">
      <formula>SUM(S4+T4*4+U4*16+V4*64)&gt;=256</formula>
    </cfRule>
  </conditionalFormatting>
  <conditionalFormatting sqref="E41">
    <cfRule type="containsText" dxfId="107" priority="1" operator="containsText" text="No">
      <formula>NOT(ISERROR(SEARCH("No",E41)))</formula>
    </cfRule>
    <cfRule type="containsText" dxfId="106" priority="2" operator="containsText" text="Yes">
      <formula>NOT(ISERROR(SEARCH("Yes",E41)))</formula>
    </cfRule>
  </conditionalFormatting>
  <dataValidations count="1">
    <dataValidation type="list" allowBlank="1" showInputMessage="1" showErrorMessage="1" sqref="E41">
      <formula1>$G$41:$H$41</formula1>
    </dataValidation>
  </dataValidations>
  <pageMargins left="0.7" right="0.7" top="0.75" bottom="0.75" header="0.3" footer="0.3"/>
  <pageSetup orientation="portrait" r:id="rId1"/>
  <drawing r:id="rId2"/>
  <tableParts count="3">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heetViews>
  <sheetFormatPr defaultRowHeight="15" x14ac:dyDescent="0.25"/>
  <cols>
    <col min="1" max="1" width="20.7109375" customWidth="1"/>
    <col min="2" max="2" width="15.7109375" customWidth="1"/>
    <col min="3" max="3" width="7" bestFit="1" customWidth="1"/>
    <col min="4" max="4" width="8.28515625" bestFit="1" customWidth="1"/>
  </cols>
  <sheetData>
    <row r="1" spans="1:8" x14ac:dyDescent="0.25">
      <c r="A1" s="148" t="s">
        <v>4</v>
      </c>
      <c r="B1" s="148" t="s">
        <v>95</v>
      </c>
      <c r="C1" s="148" t="s">
        <v>194</v>
      </c>
      <c r="D1" s="148" t="s">
        <v>101</v>
      </c>
    </row>
    <row r="2" spans="1:8" x14ac:dyDescent="0.25">
      <c r="A2" s="157"/>
      <c r="B2" s="158"/>
      <c r="C2" s="158"/>
      <c r="D2" s="158"/>
      <c r="H2" s="149" t="s">
        <v>112</v>
      </c>
    </row>
    <row r="3" spans="1:8" x14ac:dyDescent="0.25">
      <c r="A3" s="159"/>
      <c r="B3" s="160"/>
      <c r="C3" s="160"/>
      <c r="D3" s="160"/>
      <c r="H3" s="149" t="s">
        <v>113</v>
      </c>
    </row>
    <row r="4" spans="1:8" x14ac:dyDescent="0.25">
      <c r="A4" s="157"/>
      <c r="B4" s="158"/>
      <c r="C4" s="158"/>
      <c r="D4" s="158"/>
      <c r="H4" s="149" t="s">
        <v>114</v>
      </c>
    </row>
    <row r="5" spans="1:8" x14ac:dyDescent="0.25">
      <c r="A5" s="159"/>
      <c r="B5" s="160"/>
      <c r="C5" s="160"/>
      <c r="D5" s="160"/>
      <c r="H5" s="149" t="s">
        <v>115</v>
      </c>
    </row>
    <row r="6" spans="1:8" x14ac:dyDescent="0.25">
      <c r="A6" s="157"/>
      <c r="B6" s="158"/>
      <c r="C6" s="158"/>
      <c r="D6" s="158"/>
      <c r="H6" s="149"/>
    </row>
    <row r="7" spans="1:8" x14ac:dyDescent="0.25">
      <c r="A7" s="159"/>
      <c r="B7" s="160"/>
      <c r="C7" s="160"/>
      <c r="D7" s="160"/>
    </row>
    <row r="8" spans="1:8" x14ac:dyDescent="0.25">
      <c r="A8" s="157"/>
      <c r="B8" s="158"/>
      <c r="C8" s="158"/>
      <c r="D8" s="158"/>
    </row>
    <row r="9" spans="1:8" x14ac:dyDescent="0.25">
      <c r="A9" s="159"/>
      <c r="B9" s="160"/>
      <c r="C9" s="160"/>
      <c r="D9" s="160"/>
    </row>
    <row r="10" spans="1:8" x14ac:dyDescent="0.25">
      <c r="A10" s="157"/>
      <c r="B10" s="158"/>
      <c r="C10" s="158"/>
      <c r="D10" s="158"/>
    </row>
    <row r="11" spans="1:8" x14ac:dyDescent="0.25">
      <c r="A11" s="159"/>
      <c r="B11" s="160"/>
      <c r="C11" s="160"/>
      <c r="D11" s="160"/>
    </row>
    <row r="12" spans="1:8" x14ac:dyDescent="0.25">
      <c r="A12" s="157"/>
      <c r="B12" s="158"/>
      <c r="C12" s="158"/>
      <c r="D12" s="158"/>
    </row>
    <row r="13" spans="1:8" x14ac:dyDescent="0.25">
      <c r="A13" s="159"/>
      <c r="B13" s="160"/>
      <c r="C13" s="160"/>
      <c r="D13" s="160"/>
    </row>
    <row r="14" spans="1:8" x14ac:dyDescent="0.25">
      <c r="A14" s="157"/>
      <c r="B14" s="158"/>
      <c r="C14" s="158"/>
      <c r="D14" s="158"/>
    </row>
    <row r="15" spans="1:8" x14ac:dyDescent="0.25">
      <c r="A15" s="159"/>
      <c r="B15" s="160"/>
      <c r="C15" s="160"/>
      <c r="D15" s="160"/>
    </row>
    <row r="16" spans="1:8" x14ac:dyDescent="0.25">
      <c r="A16" s="157"/>
      <c r="B16" s="158"/>
      <c r="C16" s="158"/>
      <c r="D16" s="158"/>
    </row>
    <row r="17" spans="1:4" x14ac:dyDescent="0.25">
      <c r="A17" s="159"/>
      <c r="B17" s="160"/>
      <c r="C17" s="160"/>
      <c r="D17" s="160"/>
    </row>
    <row r="18" spans="1:4" x14ac:dyDescent="0.25">
      <c r="A18" s="157"/>
      <c r="B18" s="158"/>
      <c r="C18" s="158"/>
      <c r="D18" s="158"/>
    </row>
    <row r="19" spans="1:4" x14ac:dyDescent="0.25">
      <c r="A19" s="159"/>
      <c r="B19" s="160"/>
      <c r="C19" s="160"/>
      <c r="D19" s="160"/>
    </row>
    <row r="20" spans="1:4" x14ac:dyDescent="0.25">
      <c r="A20" s="157"/>
      <c r="B20" s="158"/>
      <c r="C20" s="158"/>
      <c r="D20" s="158"/>
    </row>
    <row r="21" spans="1:4" x14ac:dyDescent="0.25">
      <c r="A21" s="159"/>
      <c r="B21" s="160"/>
      <c r="C21" s="160"/>
      <c r="D21" s="160"/>
    </row>
    <row r="22" spans="1:4" x14ac:dyDescent="0.25">
      <c r="A22" s="157"/>
      <c r="B22" s="158"/>
      <c r="C22" s="158"/>
      <c r="D22" s="158"/>
    </row>
    <row r="23" spans="1:4" x14ac:dyDescent="0.25">
      <c r="A23" s="159"/>
      <c r="B23" s="160"/>
      <c r="C23" s="160"/>
      <c r="D23" s="160"/>
    </row>
    <row r="24" spans="1:4" x14ac:dyDescent="0.25">
      <c r="A24" s="157"/>
      <c r="B24" s="158"/>
      <c r="C24" s="158"/>
      <c r="D24" s="158"/>
    </row>
    <row r="25" spans="1:4" x14ac:dyDescent="0.25">
      <c r="A25" s="159"/>
      <c r="B25" s="160"/>
      <c r="C25" s="160"/>
      <c r="D25" s="160"/>
    </row>
  </sheetData>
  <dataValidations count="2">
    <dataValidation type="list" allowBlank="1" showInputMessage="1" showErrorMessage="1" sqref="C2:C25">
      <formula1>$H$2:$H$5</formula1>
    </dataValidation>
    <dataValidation type="whole" allowBlank="1" showInputMessage="1" showErrorMessage="1" sqref="D2:D25">
      <formula1>1</formula1>
      <formula2>5</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validation!$G$2:$G$62</xm:f>
          </x14:formula1>
          <xm:sqref>A2:A25</xm:sqref>
        </x14:dataValidation>
        <x14:dataValidation type="list" allowBlank="1" showInputMessage="1" showErrorMessage="1">
          <x14:formula1>
            <xm:f>validation!$E$2:$E$19</xm:f>
          </x14:formula1>
          <xm:sqref>B2:B25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0"/>
  <sheetViews>
    <sheetView topLeftCell="A28" workbookViewId="0">
      <selection activeCell="C51" sqref="C51"/>
    </sheetView>
  </sheetViews>
  <sheetFormatPr defaultColWidth="11.5703125" defaultRowHeight="14.25" outlineLevelCol="1" x14ac:dyDescent="0.2"/>
  <cols>
    <col min="1" max="1" width="18.7109375" style="10" bestFit="1" customWidth="1"/>
    <col min="2" max="2" width="11.5703125" style="10" customWidth="1" outlineLevel="1"/>
    <col min="3" max="3" width="7.7109375" style="10" bestFit="1" customWidth="1" outlineLevel="1"/>
    <col min="4" max="5" width="7.85546875" style="10" customWidth="1" outlineLevel="1"/>
    <col min="6" max="6" width="15.7109375" style="10" bestFit="1" customWidth="1" outlineLevel="1"/>
    <col min="7" max="7" width="8" style="10" customWidth="1" outlineLevel="1"/>
    <col min="8" max="8" width="6.42578125" style="10" customWidth="1" outlineLevel="1"/>
    <col min="9" max="9" width="12.7109375" style="10" bestFit="1" customWidth="1"/>
    <col min="10" max="10" width="8.140625" style="20" customWidth="1"/>
    <col min="11" max="11" width="9.5703125" style="10" bestFit="1" customWidth="1"/>
    <col min="12" max="13" width="10.28515625" style="10" customWidth="1"/>
    <col min="14" max="14" width="8.28515625" style="10" customWidth="1"/>
    <col min="15" max="15" width="8" style="10" customWidth="1"/>
    <col min="16" max="16" width="11.5703125" style="10" customWidth="1"/>
    <col min="17" max="16384" width="11.5703125" style="10"/>
  </cols>
  <sheetData>
    <row r="1" spans="1:18" s="16" customFormat="1" ht="29.25" thickBot="1" x14ac:dyDescent="0.25">
      <c r="A1" s="24" t="s">
        <v>4</v>
      </c>
      <c r="B1" s="24" t="s">
        <v>192</v>
      </c>
      <c r="C1" s="24" t="s">
        <v>101</v>
      </c>
      <c r="D1" s="24" t="s">
        <v>102</v>
      </c>
      <c r="E1" s="24" t="s">
        <v>103</v>
      </c>
      <c r="F1" s="24" t="s">
        <v>104</v>
      </c>
      <c r="G1" s="24" t="s">
        <v>105</v>
      </c>
      <c r="H1" s="24" t="s">
        <v>193</v>
      </c>
      <c r="I1" s="24" t="s">
        <v>106</v>
      </c>
      <c r="J1" s="24" t="s">
        <v>107</v>
      </c>
      <c r="K1" s="24" t="s">
        <v>204</v>
      </c>
      <c r="L1" s="24" t="s">
        <v>216</v>
      </c>
      <c r="M1" s="24" t="s">
        <v>217</v>
      </c>
      <c r="N1" s="24" t="s">
        <v>218</v>
      </c>
      <c r="O1" s="24" t="s">
        <v>219</v>
      </c>
      <c r="P1" s="18" t="s">
        <v>109</v>
      </c>
      <c r="Q1" s="18" t="s">
        <v>265</v>
      </c>
      <c r="R1" s="19"/>
    </row>
    <row r="2" spans="1:18" ht="15" customHeight="1" thickTop="1" x14ac:dyDescent="0.2">
      <c r="A2" s="161" t="s">
        <v>43</v>
      </c>
      <c r="B2" s="250" t="str">
        <f>+_xlfn.IFNA(INDEX(validation.heroes[Type],MATCH(heroes[[#This Row],[Hero]],validation.heroes[Hero],0)),"4 -")&amp;"                    "&amp;heroes[[#This Row],[Evo?]]&amp;"-"&amp;TEXT(SUM(200-heroes[[#This Row],[Level]]),"000")&amp;"-"&amp;_xlfn.IFNA(SUM(INDEX(validation.heroes[SortKey],MATCH(heroes[[#This Row],[Hero]],validation.heroes[Hero],0))+heroes[[#This Row],[Inscr.]]),"")</f>
        <v>1 - Legend                    Devo-000-128</v>
      </c>
      <c r="C2" s="144">
        <v>200</v>
      </c>
      <c r="D2" s="1" t="s">
        <v>11</v>
      </c>
      <c r="E2" s="147">
        <v>9</v>
      </c>
      <c r="F2" s="1" t="s">
        <v>32</v>
      </c>
      <c r="G2" s="9">
        <v>5</v>
      </c>
      <c r="H2" s="9">
        <v>100</v>
      </c>
      <c r="I2" s="1" t="s">
        <v>16</v>
      </c>
      <c r="J2" s="223">
        <v>4</v>
      </c>
      <c r="K2" s="142" t="s">
        <v>207</v>
      </c>
      <c r="L2" s="226" t="str">
        <f>+_xlfn.IFNA(IF(VLOOKUP(heroes[[#This Row],[Hero]],'Warehouse - Cards'!$AB$4:$AI$400,7,FALSE)=0,"",VLOOKUP(heroes[[#This Row],[Hero]],'Warehouse - Cards'!$AB$4:$AI$400,7,FALSE)),"")</f>
        <v/>
      </c>
      <c r="M2" s="226" t="str">
        <f>+_xlfn.IFNA(IF(VLOOKUP(heroes[[#This Row],[Hero]],'Warehouse - Cards'!$AB$4:$AI$400,8,FALSE)=0,"",VLOOKUP(heroes[[#This Row],[Hero]],'Warehouse - Cards'!$AB$4:$AI$400,8,FALSE)),"")</f>
        <v/>
      </c>
      <c r="N2" s="253">
        <f>+_xlfn.IFNA(heroes[[#This Row],[Level]]+VLOOKUP(heroes[[#This Row],[Skill Level]],$A$81:$B$90,2,FALSE),0)</f>
        <v>3928</v>
      </c>
      <c r="O2"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2" s="141">
        <f>+_xlfn.IFNA(heroes[[#This Row],[Talent Level]]/INDEX(validation.talent[max],MATCH(heroes[[#This Row],[Talent]],validation.talent[talent],0)),-1)</f>
        <v>0.625</v>
      </c>
      <c r="Q2" s="261" t="str">
        <f>+VLOOKUP(heroes[[#This Row],[Hero]],validation.heroes[],4,FALSE)</f>
        <v>Legendary</v>
      </c>
      <c r="R2" s="143"/>
    </row>
    <row r="3" spans="1:18" ht="15" customHeight="1" x14ac:dyDescent="0.2">
      <c r="A3" s="25" t="s">
        <v>69</v>
      </c>
      <c r="B3"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Devo-010-95</v>
      </c>
      <c r="C3" s="145">
        <v>190</v>
      </c>
      <c r="D3" s="1" t="s">
        <v>11</v>
      </c>
      <c r="E3" s="147">
        <v>6</v>
      </c>
      <c r="F3" s="1" t="s">
        <v>24</v>
      </c>
      <c r="G3" s="9">
        <v>4</v>
      </c>
      <c r="H3" s="9">
        <v>86</v>
      </c>
      <c r="I3" s="1" t="s">
        <v>54</v>
      </c>
      <c r="J3" s="223">
        <v>3</v>
      </c>
      <c r="K3" s="142"/>
      <c r="L3" s="226" t="str">
        <f>+_xlfn.IFNA(IF(VLOOKUP(heroes[[#This Row],[Hero]],'Warehouse - Cards'!$AB$4:$AI$400,7,FALSE)=0,"",VLOOKUP(heroes[[#This Row],[Hero]],'Warehouse - Cards'!$AB$4:$AI$400,7,FALSE)),"")</f>
        <v/>
      </c>
      <c r="M3" s="226" t="str">
        <f>+_xlfn.IFNA(IF(VLOOKUP(heroes[[#This Row],[Hero]],'Warehouse - Cards'!$AB$4:$AI$400,8,FALSE)=0,"",VLOOKUP(heroes[[#This Row],[Hero]],'Warehouse - Cards'!$AB$4:$AI$400,8,FALSE)),"")</f>
        <v/>
      </c>
      <c r="N3" s="253">
        <f>+_xlfn.IFNA(heroes[[#This Row],[Level]]+VLOOKUP(heroes[[#This Row],[Skill Level]],$A$81:$B$90,2,FALSE),0)</f>
        <v>819</v>
      </c>
      <c r="O3"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3" s="141">
        <f>+_xlfn.IFNA(heroes[[#This Row],[Talent Level]]/INDEX(validation.talent[max],MATCH(heroes[[#This Row],[Talent]],validation.talent[talent],0)),-1)</f>
        <v>0.8</v>
      </c>
      <c r="Q3" s="261" t="str">
        <f>+VLOOKUP(heroes[[#This Row],[Hero]],validation.heroes[],4,FALSE)</f>
        <v>Legendary</v>
      </c>
      <c r="R3" s="143"/>
    </row>
    <row r="4" spans="1:18" ht="15" customHeight="1" x14ac:dyDescent="0.2">
      <c r="A4" s="25" t="s">
        <v>57</v>
      </c>
      <c r="B4"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Devo-020-100</v>
      </c>
      <c r="C4" s="145">
        <v>180</v>
      </c>
      <c r="D4" s="1" t="s">
        <v>11</v>
      </c>
      <c r="E4" s="147">
        <v>7</v>
      </c>
      <c r="F4" s="1" t="s">
        <v>16</v>
      </c>
      <c r="G4" s="9">
        <v>4</v>
      </c>
      <c r="H4" s="9">
        <v>90</v>
      </c>
      <c r="I4" s="1" t="s">
        <v>48</v>
      </c>
      <c r="J4" s="223">
        <v>4</v>
      </c>
      <c r="K4" s="142"/>
      <c r="L4" s="226" t="str">
        <f>+_xlfn.IFNA(IF(VLOOKUP(heroes[[#This Row],[Hero]],'Warehouse - Cards'!$AB$4:$AI$400,7,FALSE)=0,"",VLOOKUP(heroes[[#This Row],[Hero]],'Warehouse - Cards'!$AB$4:$AI$400,7,FALSE)),"")</f>
        <v/>
      </c>
      <c r="M4" s="226" t="str">
        <f>+_xlfn.IFNA(IF(VLOOKUP(heroes[[#This Row],[Hero]],'Warehouse - Cards'!$AB$4:$AI$400,8,FALSE)=0,"",VLOOKUP(heroes[[#This Row],[Hero]],'Warehouse - Cards'!$AB$4:$AI$400,8,FALSE)),"")</f>
        <v/>
      </c>
      <c r="N4" s="253">
        <f>+_xlfn.IFNA(heroes[[#This Row],[Level]]+VLOOKUP(heroes[[#This Row],[Skill Level]],$A$81:$B$90,2,FALSE),0)</f>
        <v>1240</v>
      </c>
      <c r="O4"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4" s="141">
        <f>+_xlfn.IFNA(heroes[[#This Row],[Talent Level]]/INDEX(validation.talent[max],MATCH(heroes[[#This Row],[Talent]],validation.talent[talent],0)),-1)</f>
        <v>0.5</v>
      </c>
      <c r="Q4" s="261" t="str">
        <f>+VLOOKUP(heroes[[#This Row],[Hero]],validation.heroes[],4,FALSE)</f>
        <v>Legendary</v>
      </c>
      <c r="R4" s="143"/>
    </row>
    <row r="5" spans="1:18" ht="15" customHeight="1" x14ac:dyDescent="0.2">
      <c r="A5" s="25" t="s">
        <v>77</v>
      </c>
      <c r="B5"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Devo-020-106</v>
      </c>
      <c r="C5" s="145">
        <v>180</v>
      </c>
      <c r="D5" s="1" t="s">
        <v>11</v>
      </c>
      <c r="E5" s="147">
        <v>9</v>
      </c>
      <c r="F5" s="1" t="s">
        <v>36</v>
      </c>
      <c r="G5" s="9">
        <v>5</v>
      </c>
      <c r="H5" s="9">
        <v>98</v>
      </c>
      <c r="I5" s="1" t="s">
        <v>8</v>
      </c>
      <c r="J5" s="223">
        <v>4</v>
      </c>
      <c r="K5" s="142" t="s">
        <v>207</v>
      </c>
      <c r="L5" s="226" t="str">
        <f>+_xlfn.IFNA(IF(VLOOKUP(heroes[[#This Row],[Hero]],'Warehouse - Cards'!$AB$4:$AI$400,7,FALSE)=0,"",VLOOKUP(heroes[[#This Row],[Hero]],'Warehouse - Cards'!$AB$4:$AI$400,7,FALSE)),"")</f>
        <v/>
      </c>
      <c r="M5" s="226" t="str">
        <f>+_xlfn.IFNA(IF(VLOOKUP(heroes[[#This Row],[Hero]],'Warehouse - Cards'!$AB$4:$AI$400,8,FALSE)=0,"",VLOOKUP(heroes[[#This Row],[Hero]],'Warehouse - Cards'!$AB$4:$AI$400,8,FALSE)),"")</f>
        <v/>
      </c>
      <c r="N5" s="253">
        <f>+_xlfn.IFNA(heroes[[#This Row],[Level]]+VLOOKUP(heroes[[#This Row],[Skill Level]],$A$81:$B$90,2,FALSE),0)</f>
        <v>3908</v>
      </c>
      <c r="O5"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5" s="141">
        <f>+_xlfn.IFNA(heroes[[#This Row],[Talent Level]]/INDEX(validation.talent[max],MATCH(heroes[[#This Row],[Talent]],validation.talent[talent],0)),-1)</f>
        <v>1</v>
      </c>
      <c r="Q5" s="261" t="str">
        <f>+VLOOKUP(heroes[[#This Row],[Hero]],validation.heroes[],4,FALSE)</f>
        <v>Legendary</v>
      </c>
      <c r="R5" s="143"/>
    </row>
    <row r="6" spans="1:18" ht="15" customHeight="1" x14ac:dyDescent="0.2">
      <c r="A6" s="161" t="s">
        <v>56</v>
      </c>
      <c r="B6"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Devo-020-129</v>
      </c>
      <c r="C6" s="145">
        <v>180</v>
      </c>
      <c r="D6" s="152" t="s">
        <v>11</v>
      </c>
      <c r="E6" s="153">
        <v>7</v>
      </c>
      <c r="F6" s="152" t="s">
        <v>32</v>
      </c>
      <c r="G6" s="142">
        <v>4</v>
      </c>
      <c r="H6" s="9">
        <v>93</v>
      </c>
      <c r="I6" s="1" t="s">
        <v>40</v>
      </c>
      <c r="J6" s="223">
        <v>3</v>
      </c>
      <c r="K6" s="142"/>
      <c r="L6" s="226" t="str">
        <f>+_xlfn.IFNA(IF(VLOOKUP(heroes[[#This Row],[Hero]],'Warehouse - Cards'!$AB$4:$AI$400,7,FALSE)=0,"",VLOOKUP(heroes[[#This Row],[Hero]],'Warehouse - Cards'!$AB$4:$AI$400,7,FALSE)),"")</f>
        <v/>
      </c>
      <c r="M6" s="226" t="str">
        <f>+_xlfn.IFNA(IF(VLOOKUP(heroes[[#This Row],[Hero]],'Warehouse - Cards'!$AB$4:$AI$400,8,FALSE)=0,"",VLOOKUP(heroes[[#This Row],[Hero]],'Warehouse - Cards'!$AB$4:$AI$400,8,FALSE)),"")</f>
        <v/>
      </c>
      <c r="N6" s="253">
        <f>+_xlfn.IFNA(heroes[[#This Row],[Level]]+VLOOKUP(heroes[[#This Row],[Skill Level]],$A$81:$B$90,2,FALSE),0)</f>
        <v>1240</v>
      </c>
      <c r="O6"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6" s="141">
        <f>+_xlfn.IFNA(heroes[[#This Row],[Talent Level]]/INDEX(validation.talent[max],MATCH(heroes[[#This Row],[Talent]],validation.talent[talent],0)),-1)</f>
        <v>0.5</v>
      </c>
      <c r="Q6" s="261" t="str">
        <f>+VLOOKUP(heroes[[#This Row],[Hero]],validation.heroes[],4,FALSE)</f>
        <v>Legendary</v>
      </c>
      <c r="R6" s="143"/>
    </row>
    <row r="7" spans="1:18" ht="15" customHeight="1" x14ac:dyDescent="0.2">
      <c r="A7" s="25" t="s">
        <v>55</v>
      </c>
      <c r="B7"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Devo-020-129</v>
      </c>
      <c r="C7" s="145">
        <v>180</v>
      </c>
      <c r="D7" s="1" t="s">
        <v>11</v>
      </c>
      <c r="E7" s="147">
        <v>10</v>
      </c>
      <c r="F7" s="1" t="s">
        <v>16</v>
      </c>
      <c r="G7" s="9">
        <v>7</v>
      </c>
      <c r="H7" s="9">
        <v>100</v>
      </c>
      <c r="I7" s="1" t="s">
        <v>32</v>
      </c>
      <c r="J7" s="223">
        <v>4</v>
      </c>
      <c r="K7" s="142" t="s">
        <v>207</v>
      </c>
      <c r="L7" s="226" t="str">
        <f>+_xlfn.IFNA(IF(VLOOKUP(heroes[[#This Row],[Hero]],'Warehouse - Cards'!$AB$4:$AI$400,7,FALSE)=0,"",VLOOKUP(heroes[[#This Row],[Hero]],'Warehouse - Cards'!$AB$4:$AI$400,7,FALSE)),"")</f>
        <v/>
      </c>
      <c r="M7" s="226" t="str">
        <f>+_xlfn.IFNA(IF(VLOOKUP(heroes[[#This Row],[Hero]],'Warehouse - Cards'!$AB$4:$AI$400,8,FALSE)=0,"",VLOOKUP(heroes[[#This Row],[Hero]],'Warehouse - Cards'!$AB$4:$AI$400,8,FALSE)),"")</f>
        <v/>
      </c>
      <c r="N7" s="253">
        <f>+_xlfn.IFNA(heroes[[#This Row],[Level]]+VLOOKUP(heroes[[#This Row],[Skill Level]],$A$81:$B$90,2,FALSE),0)</f>
        <v>3908</v>
      </c>
      <c r="O7"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7" s="141">
        <f>+_xlfn.IFNA(heroes[[#This Row],[Talent Level]]/INDEX(validation.talent[max],MATCH(heroes[[#This Row],[Talent]],validation.talent[talent],0)),-1)</f>
        <v>0.875</v>
      </c>
      <c r="Q7" s="261" t="str">
        <f>+VLOOKUP(heroes[[#This Row],[Hero]],validation.heroes[],4,FALSE)</f>
        <v>Legendary</v>
      </c>
      <c r="R7" s="143"/>
    </row>
    <row r="8" spans="1:18" ht="15" customHeight="1" x14ac:dyDescent="0.2">
      <c r="A8" s="25" t="s">
        <v>84</v>
      </c>
      <c r="B8"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Devo-080-92</v>
      </c>
      <c r="C8" s="145">
        <v>120</v>
      </c>
      <c r="D8" s="1" t="s">
        <v>11</v>
      </c>
      <c r="E8" s="147">
        <v>4</v>
      </c>
      <c r="F8" s="1" t="s">
        <v>46</v>
      </c>
      <c r="G8" s="9">
        <v>5</v>
      </c>
      <c r="H8" s="9">
        <v>80</v>
      </c>
      <c r="I8" s="1"/>
      <c r="J8" s="223"/>
      <c r="K8" s="142"/>
      <c r="L8" s="226" t="str">
        <f>+_xlfn.IFNA(IF(VLOOKUP(heroes[[#This Row],[Hero]],'Warehouse - Cards'!$AB$4:$AI$400,7,FALSE)=0,"",VLOOKUP(heroes[[#This Row],[Hero]],'Warehouse - Cards'!$AB$4:$AI$400,7,FALSE)),"")</f>
        <v/>
      </c>
      <c r="M8" s="226" t="str">
        <f>+_xlfn.IFNA(IF(VLOOKUP(heroes[[#This Row],[Hero]],'Warehouse - Cards'!$AB$4:$AI$400,8,FALSE)=0,"",VLOOKUP(heroes[[#This Row],[Hero]],'Warehouse - Cards'!$AB$4:$AI$400,8,FALSE)),"")</f>
        <v/>
      </c>
      <c r="N8" s="253">
        <f>+_xlfn.IFNA(heroes[[#This Row],[Level]]+VLOOKUP(heroes[[#This Row],[Skill Level]],$A$81:$B$90,2,FALSE),0)</f>
        <v>303</v>
      </c>
      <c r="O8"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8" s="141">
        <f>+_xlfn.IFNA(heroes[[#This Row],[Talent Level]]/INDEX(validation.talent[max],MATCH(heroes[[#This Row],[Talent]],validation.talent[talent],0)),-1)</f>
        <v>0.625</v>
      </c>
      <c r="Q8" s="261" t="str">
        <f>+VLOOKUP(heroes[[#This Row],[Hero]],validation.heroes[],4,FALSE)</f>
        <v>Legendary</v>
      </c>
      <c r="R8" s="143"/>
    </row>
    <row r="9" spans="1:18" ht="15" customHeight="1" x14ac:dyDescent="0.2">
      <c r="A9" s="25" t="s">
        <v>93</v>
      </c>
      <c r="B9" s="251" t="str">
        <f>+_xlfn.IFNA(INDEX(validation.heroes[Type],MATCH(heroes[[#This Row],[Hero]],validation.heroes[Hero],0)),"4 -")&amp;"                    "&amp;heroes[[#This Row],[Evo?]]&amp;"-"&amp;TEXT(SUM(200-heroes[[#This Row],[Level]]),"000")&amp;"-"&amp;_xlfn.IFNA(SUM(INDEX(validation.heroes[SortKey],MATCH(heroes[[#This Row],[Hero]],validation.heroes[Hero],0))+heroes[[#This Row],[Inscr.]]),"")</f>
        <v>1 - Legend                    Devo-100-118</v>
      </c>
      <c r="C9" s="145">
        <v>100</v>
      </c>
      <c r="D9" s="1" t="s">
        <v>11</v>
      </c>
      <c r="E9" s="147">
        <v>8</v>
      </c>
      <c r="F9" s="1" t="s">
        <v>24</v>
      </c>
      <c r="G9" s="9">
        <v>4</v>
      </c>
      <c r="H9" s="9">
        <v>94</v>
      </c>
      <c r="I9" s="1"/>
      <c r="J9" s="223"/>
      <c r="K9" s="142"/>
      <c r="L9" s="226" t="str">
        <f>+_xlfn.IFNA(IF(VLOOKUP(heroes[[#This Row],[Hero]],'Warehouse - Cards'!$AB$4:$AI$400,7,FALSE)=0,"",VLOOKUP(heroes[[#This Row],[Hero]],'Warehouse - Cards'!$AB$4:$AI$400,7,FALSE)),"")</f>
        <v/>
      </c>
      <c r="M9" s="226" t="str">
        <f>+_xlfn.IFNA(IF(VLOOKUP(heroes[[#This Row],[Hero]],'Warehouse - Cards'!$AB$4:$AI$400,8,FALSE)=0,"",VLOOKUP(heroes[[#This Row],[Hero]],'Warehouse - Cards'!$AB$4:$AI$400,8,FALSE)),"")</f>
        <v/>
      </c>
      <c r="N9" s="253">
        <f>+_xlfn.IFNA(heroes[[#This Row],[Level]]+VLOOKUP(heroes[[#This Row],[Skill Level]],$A$81:$B$90,2,FALSE),0)</f>
        <v>2195</v>
      </c>
      <c r="O9"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9" s="141">
        <f>+_xlfn.IFNA(heroes[[#This Row],[Talent Level]]/INDEX(validation.talent[max],MATCH(heroes[[#This Row],[Talent]],validation.talent[talent],0)),-1)</f>
        <v>0.8</v>
      </c>
      <c r="Q9" s="261" t="str">
        <f>+VLOOKUP(heroes[[#This Row],[Hero]],validation.heroes[],4,FALSE)</f>
        <v>Legendary</v>
      </c>
      <c r="R9" s="143"/>
    </row>
    <row r="10" spans="1:18" ht="15" customHeight="1" x14ac:dyDescent="0.2">
      <c r="A10" s="25" t="s">
        <v>19</v>
      </c>
      <c r="B10"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Evo-000-112</v>
      </c>
      <c r="C10" s="145">
        <v>200</v>
      </c>
      <c r="D10" s="1" t="s">
        <v>6</v>
      </c>
      <c r="E10" s="147">
        <v>8</v>
      </c>
      <c r="F10" s="1" t="s">
        <v>36</v>
      </c>
      <c r="G10" s="9">
        <v>5</v>
      </c>
      <c r="H10" s="9">
        <v>96</v>
      </c>
      <c r="I10" s="1" t="s">
        <v>34</v>
      </c>
      <c r="J10" s="223">
        <v>1</v>
      </c>
      <c r="K10" s="142" t="s">
        <v>207</v>
      </c>
      <c r="L10" s="226">
        <f>+_xlfn.IFNA(IF(VLOOKUP(heroes[[#This Row],[Hero]],'Warehouse - Cards'!$AB$4:$AI$400,7,FALSE)=0,"",VLOOKUP(heroes[[#This Row],[Hero]],'Warehouse - Cards'!$AB$4:$AI$400,7,FALSE)),"")</f>
        <v>5000</v>
      </c>
      <c r="M10" s="226">
        <f>+_xlfn.IFNA(IF(VLOOKUP(heroes[[#This Row],[Hero]],'Warehouse - Cards'!$AB$4:$AI$400,8,FALSE)=0,"",VLOOKUP(heroes[[#This Row],[Hero]],'Warehouse - Cards'!$AB$4:$AI$400,8,FALSE)),"")</f>
        <v>20000</v>
      </c>
      <c r="N10" s="253">
        <f>+_xlfn.IFNA(heroes[[#This Row],[Level]]+VLOOKUP(heroes[[#This Row],[Skill Level]],$A$81:$B$90,2,FALSE),0)</f>
        <v>2295</v>
      </c>
      <c r="O10" s="226">
        <f>+IF(heroes[[#This Row],[Tower value]]&lt;50,0,IF(heroes[[#This Row],[Tower value]]&lt;=139,1,IF(heroes[[#This Row],[Tower value]]&lt;=299,2,IF(heroes[[#This Row],[Tower value]]&lt;=649,3,IF(heroes[[#This Row],[Tower value]]&lt;=1199,4,IF(heroes[[#This Row],[Tower value]]&lt;=2199,5,IF(heroes[[#This Row],[Tower value]]&lt;=3799,6,IF(heroes[[#This Row],[Tower value]]&gt;=3800,7))))))))</f>
        <v>6</v>
      </c>
      <c r="P10" s="141">
        <f>+_xlfn.IFNA(heroes[[#This Row],[Talent Level]]/INDEX(validation.talent[max],MATCH(heroes[[#This Row],[Talent]],validation.talent[talent],0)),-1)</f>
        <v>1</v>
      </c>
      <c r="Q10" s="261" t="str">
        <f>+VLOOKUP(heroes[[#This Row],[Hero]],validation.heroes[],4,FALSE)</f>
        <v>Legendary</v>
      </c>
      <c r="R10" s="143"/>
    </row>
    <row r="11" spans="1:18" ht="15" customHeight="1" x14ac:dyDescent="0.2">
      <c r="A11" s="25" t="s">
        <v>92</v>
      </c>
      <c r="B11"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Evo-018-113</v>
      </c>
      <c r="C11" s="145">
        <v>182</v>
      </c>
      <c r="D11" s="1" t="s">
        <v>6</v>
      </c>
      <c r="E11" s="147">
        <v>7</v>
      </c>
      <c r="F11" s="1" t="s">
        <v>16</v>
      </c>
      <c r="G11" s="9">
        <v>8</v>
      </c>
      <c r="H11" s="9">
        <v>96</v>
      </c>
      <c r="I11" s="1" t="s">
        <v>54</v>
      </c>
      <c r="J11" s="223">
        <v>4</v>
      </c>
      <c r="K11" s="142" t="s">
        <v>207</v>
      </c>
      <c r="L11" s="226">
        <f>+_xlfn.IFNA(IF(VLOOKUP(heroes[[#This Row],[Hero]],'Warehouse - Cards'!$AB$4:$AI$400,7,FALSE)=0,"",VLOOKUP(heroes[[#This Row],[Hero]],'Warehouse - Cards'!$AB$4:$AI$400,7,FALSE)),"")</f>
        <v>5000</v>
      </c>
      <c r="M11" s="226" t="str">
        <f>+_xlfn.IFNA(IF(VLOOKUP(heroes[[#This Row],[Hero]],'Warehouse - Cards'!$AB$4:$AI$400,8,FALSE)=0,"",VLOOKUP(heroes[[#This Row],[Hero]],'Warehouse - Cards'!$AB$4:$AI$400,8,FALSE)),"")</f>
        <v/>
      </c>
      <c r="N11" s="253">
        <f>+_xlfn.IFNA(heroes[[#This Row],[Level]]+VLOOKUP(heroes[[#This Row],[Skill Level]],$A$81:$B$90,2,FALSE),0)</f>
        <v>1242</v>
      </c>
      <c r="O11"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11" s="141">
        <f>+_xlfn.IFNA(heroes[[#This Row],[Talent Level]]/INDEX(validation.talent[max],MATCH(heroes[[#This Row],[Talent]],validation.talent[talent],0)),-1)</f>
        <v>1</v>
      </c>
      <c r="Q11" s="261" t="str">
        <f>+VLOOKUP(heroes[[#This Row],[Hero]],validation.heroes[],4,FALSE)</f>
        <v>Legendary</v>
      </c>
      <c r="R11" s="143"/>
    </row>
    <row r="12" spans="1:18" ht="15" customHeight="1" x14ac:dyDescent="0.2">
      <c r="A12" s="25" t="s">
        <v>88</v>
      </c>
      <c r="B12"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Evo-020-112</v>
      </c>
      <c r="C12" s="145">
        <v>180</v>
      </c>
      <c r="D12" s="1" t="s">
        <v>6</v>
      </c>
      <c r="E12" s="147">
        <v>9</v>
      </c>
      <c r="F12" s="1" t="s">
        <v>38</v>
      </c>
      <c r="G12" s="9">
        <v>6</v>
      </c>
      <c r="H12" s="9">
        <v>87</v>
      </c>
      <c r="I12" s="1" t="s">
        <v>50</v>
      </c>
      <c r="J12" s="223">
        <v>4</v>
      </c>
      <c r="K12" s="142"/>
      <c r="L12" s="226">
        <f>+_xlfn.IFNA(IF(VLOOKUP(heroes[[#This Row],[Hero]],'Warehouse - Cards'!$AB$4:$AI$400,7,FALSE)=0,"",VLOOKUP(heroes[[#This Row],[Hero]],'Warehouse - Cards'!$AB$4:$AI$400,7,FALSE)),"")</f>
        <v>5000</v>
      </c>
      <c r="M12" s="226" t="str">
        <f>+_xlfn.IFNA(IF(VLOOKUP(heroes[[#This Row],[Hero]],'Warehouse - Cards'!$AB$4:$AI$400,8,FALSE)=0,"",VLOOKUP(heroes[[#This Row],[Hero]],'Warehouse - Cards'!$AB$4:$AI$400,8,FALSE)),"")</f>
        <v/>
      </c>
      <c r="N12" s="253">
        <f>+_xlfn.IFNA(heroes[[#This Row],[Level]]+VLOOKUP(heroes[[#This Row],[Skill Level]],$A$81:$B$90,2,FALSE),0)</f>
        <v>3908</v>
      </c>
      <c r="O12"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12" s="141">
        <f>+_xlfn.IFNA(heroes[[#This Row],[Talent Level]]/INDEX(validation.talent[max],MATCH(heroes[[#This Row],[Talent]],validation.talent[talent],0)),-1)</f>
        <v>0.75</v>
      </c>
      <c r="Q12" s="261" t="str">
        <f>+VLOOKUP(heroes[[#This Row],[Hero]],validation.heroes[],4,FALSE)</f>
        <v>Legendary</v>
      </c>
      <c r="R12" s="143"/>
    </row>
    <row r="13" spans="1:18" ht="15" customHeight="1" x14ac:dyDescent="0.2">
      <c r="A13" s="25" t="s">
        <v>83</v>
      </c>
      <c r="B13"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Evo-020-123</v>
      </c>
      <c r="C13" s="145">
        <v>180</v>
      </c>
      <c r="D13" s="1" t="s">
        <v>6</v>
      </c>
      <c r="E13" s="147">
        <v>9</v>
      </c>
      <c r="F13" s="1" t="s">
        <v>20</v>
      </c>
      <c r="G13" s="9">
        <v>5</v>
      </c>
      <c r="H13" s="9">
        <v>96</v>
      </c>
      <c r="I13" s="1" t="s">
        <v>40</v>
      </c>
      <c r="J13" s="223">
        <v>4</v>
      </c>
      <c r="K13" s="142" t="s">
        <v>207</v>
      </c>
      <c r="L13" s="226">
        <f>+_xlfn.IFNA(IF(VLOOKUP(heroes[[#This Row],[Hero]],'Warehouse - Cards'!$AB$4:$AI$400,7,FALSE)=0,"",VLOOKUP(heroes[[#This Row],[Hero]],'Warehouse - Cards'!$AB$4:$AI$400,7,FALSE)),"")</f>
        <v>5000</v>
      </c>
      <c r="M13" s="226">
        <f>+_xlfn.IFNA(IF(VLOOKUP(heroes[[#This Row],[Hero]],'Warehouse - Cards'!$AB$4:$AI$400,8,FALSE)=0,"",VLOOKUP(heroes[[#This Row],[Hero]],'Warehouse - Cards'!$AB$4:$AI$400,8,FALSE)),"")</f>
        <v>40000</v>
      </c>
      <c r="N13" s="253">
        <f>+_xlfn.IFNA(heroes[[#This Row],[Level]]+VLOOKUP(heroes[[#This Row],[Skill Level]],$A$81:$B$90,2,FALSE),0)</f>
        <v>3908</v>
      </c>
      <c r="O13"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13" s="141">
        <f>+_xlfn.IFNA(heroes[[#This Row],[Talent Level]]/INDEX(validation.talent[max],MATCH(heroes[[#This Row],[Talent]],validation.talent[talent],0)),-1)</f>
        <v>1</v>
      </c>
      <c r="Q13" s="261" t="str">
        <f>+VLOOKUP(heroes[[#This Row],[Hero]],validation.heroes[],4,FALSE)</f>
        <v>Legendary</v>
      </c>
      <c r="R13" s="143"/>
    </row>
    <row r="14" spans="1:18" ht="15" customHeight="1" x14ac:dyDescent="0.2">
      <c r="A14" s="25" t="s">
        <v>75</v>
      </c>
      <c r="B14"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Evo-020-123</v>
      </c>
      <c r="C14" s="145">
        <v>180</v>
      </c>
      <c r="D14" s="1" t="s">
        <v>6</v>
      </c>
      <c r="E14" s="147">
        <v>6</v>
      </c>
      <c r="F14" s="1" t="s">
        <v>40</v>
      </c>
      <c r="G14" s="9">
        <v>5</v>
      </c>
      <c r="H14" s="9">
        <v>90</v>
      </c>
      <c r="I14" s="1" t="s">
        <v>38</v>
      </c>
      <c r="J14" s="223">
        <v>4</v>
      </c>
      <c r="K14" s="142" t="s">
        <v>207</v>
      </c>
      <c r="L14" s="226">
        <f>+_xlfn.IFNA(IF(VLOOKUP(heroes[[#This Row],[Hero]],'Warehouse - Cards'!$AB$4:$AI$400,7,FALSE)=0,"",VLOOKUP(heroes[[#This Row],[Hero]],'Warehouse - Cards'!$AB$4:$AI$400,7,FALSE)),"")</f>
        <v>5000</v>
      </c>
      <c r="M14" s="226" t="str">
        <f>+_xlfn.IFNA(IF(VLOOKUP(heroes[[#This Row],[Hero]],'Warehouse - Cards'!$AB$4:$AI$400,8,FALSE)=0,"",VLOOKUP(heroes[[#This Row],[Hero]],'Warehouse - Cards'!$AB$4:$AI$400,8,FALSE)),"")</f>
        <v/>
      </c>
      <c r="N14" s="253">
        <f>+_xlfn.IFNA(heroes[[#This Row],[Level]]+VLOOKUP(heroes[[#This Row],[Skill Level]],$A$81:$B$90,2,FALSE),0)</f>
        <v>809</v>
      </c>
      <c r="O14"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14" s="141">
        <f>+_xlfn.IFNA(heroes[[#This Row],[Talent Level]]/INDEX(validation.talent[max],MATCH(heroes[[#This Row],[Talent]],validation.talent[talent],0)),-1)</f>
        <v>0.625</v>
      </c>
      <c r="Q14" s="261" t="str">
        <f>+VLOOKUP(heroes[[#This Row],[Hero]],validation.heroes[],4,FALSE)</f>
        <v>Legendary</v>
      </c>
      <c r="R14" s="143"/>
    </row>
    <row r="15" spans="1:18" ht="15" customHeight="1" x14ac:dyDescent="0.2">
      <c r="A15" s="25" t="s">
        <v>23</v>
      </c>
      <c r="B15"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Evo-040-101</v>
      </c>
      <c r="C15" s="145">
        <v>160</v>
      </c>
      <c r="D15" s="1" t="s">
        <v>6</v>
      </c>
      <c r="E15" s="147">
        <v>7</v>
      </c>
      <c r="F15" s="1" t="s">
        <v>38</v>
      </c>
      <c r="G15" s="9">
        <v>6</v>
      </c>
      <c r="H15" s="9">
        <v>90</v>
      </c>
      <c r="I15" s="1" t="s">
        <v>36</v>
      </c>
      <c r="J15" s="223">
        <v>4</v>
      </c>
      <c r="K15" s="142" t="s">
        <v>207</v>
      </c>
      <c r="L15" s="226">
        <f>+_xlfn.IFNA(IF(VLOOKUP(heroes[[#This Row],[Hero]],'Warehouse - Cards'!$AB$4:$AI$400,7,FALSE)=0,"",VLOOKUP(heroes[[#This Row],[Hero]],'Warehouse - Cards'!$AB$4:$AI$400,7,FALSE)),"")</f>
        <v>5000</v>
      </c>
      <c r="M15" s="226" t="str">
        <f>+_xlfn.IFNA(IF(VLOOKUP(heroes[[#This Row],[Hero]],'Warehouse - Cards'!$AB$4:$AI$400,8,FALSE)=0,"",VLOOKUP(heroes[[#This Row],[Hero]],'Warehouse - Cards'!$AB$4:$AI$400,8,FALSE)),"")</f>
        <v/>
      </c>
      <c r="N15" s="253">
        <f>+_xlfn.IFNA(heroes[[#This Row],[Level]]+VLOOKUP(heroes[[#This Row],[Skill Level]],$A$81:$B$90,2,FALSE),0)</f>
        <v>1220</v>
      </c>
      <c r="O15"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15" s="141">
        <f>+_xlfn.IFNA(heroes[[#This Row],[Talent Level]]/INDEX(validation.talent[max],MATCH(heroes[[#This Row],[Talent]],validation.talent[talent],0)),-1)</f>
        <v>0.75</v>
      </c>
      <c r="Q15" s="261" t="str">
        <f>+VLOOKUP(heroes[[#This Row],[Hero]],validation.heroes[],4,FALSE)</f>
        <v>Legendary</v>
      </c>
      <c r="R15" s="143"/>
    </row>
    <row r="16" spans="1:18" ht="15" customHeight="1" x14ac:dyDescent="0.2">
      <c r="A16" s="25" t="s">
        <v>58</v>
      </c>
      <c r="B16"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Evo-040-106</v>
      </c>
      <c r="C16" s="145">
        <v>160</v>
      </c>
      <c r="D16" s="1" t="s">
        <v>6</v>
      </c>
      <c r="E16" s="147">
        <v>4</v>
      </c>
      <c r="F16" s="1" t="s">
        <v>40</v>
      </c>
      <c r="G16" s="9">
        <v>5</v>
      </c>
      <c r="H16" s="9">
        <v>80</v>
      </c>
      <c r="I16" s="1" t="s">
        <v>52</v>
      </c>
      <c r="J16" s="223">
        <v>3</v>
      </c>
      <c r="K16" s="142"/>
      <c r="L16" s="226">
        <f>+_xlfn.IFNA(IF(VLOOKUP(heroes[[#This Row],[Hero]],'Warehouse - Cards'!$AB$4:$AI$400,7,FALSE)=0,"",VLOOKUP(heroes[[#This Row],[Hero]],'Warehouse - Cards'!$AB$4:$AI$400,7,FALSE)),"")</f>
        <v>5000</v>
      </c>
      <c r="M16" s="226" t="str">
        <f>+_xlfn.IFNA(IF(VLOOKUP(heroes[[#This Row],[Hero]],'Warehouse - Cards'!$AB$4:$AI$400,8,FALSE)=0,"",VLOOKUP(heroes[[#This Row],[Hero]],'Warehouse - Cards'!$AB$4:$AI$400,8,FALSE)),"")</f>
        <v/>
      </c>
      <c r="N16" s="253">
        <f>+_xlfn.IFNA(heroes[[#This Row],[Level]]+VLOOKUP(heroes[[#This Row],[Skill Level]],$A$81:$B$90,2,FALSE),0)</f>
        <v>343</v>
      </c>
      <c r="O16"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16" s="141">
        <f>+_xlfn.IFNA(heroes[[#This Row],[Talent Level]]/INDEX(validation.talent[max],MATCH(heroes[[#This Row],[Talent]],validation.talent[talent],0)),-1)</f>
        <v>0.625</v>
      </c>
      <c r="Q16" s="261" t="str">
        <f>+VLOOKUP(heroes[[#This Row],[Hero]],validation.heroes[],4,FALSE)</f>
        <v>Legendary</v>
      </c>
      <c r="R16" s="143"/>
    </row>
    <row r="17" spans="1:18" ht="15" customHeight="1" x14ac:dyDescent="0.2">
      <c r="A17" s="25" t="s">
        <v>79</v>
      </c>
      <c r="B17"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Evo-040-117</v>
      </c>
      <c r="C17" s="145">
        <v>160</v>
      </c>
      <c r="D17" s="1" t="s">
        <v>6</v>
      </c>
      <c r="E17" s="147">
        <v>8</v>
      </c>
      <c r="F17" s="1" t="s">
        <v>24</v>
      </c>
      <c r="G17" s="9">
        <v>3</v>
      </c>
      <c r="H17" s="9">
        <v>97</v>
      </c>
      <c r="I17" s="1" t="s">
        <v>36</v>
      </c>
      <c r="J17" s="223">
        <v>3</v>
      </c>
      <c r="K17" s="142"/>
      <c r="L17" s="226">
        <f>+_xlfn.IFNA(IF(VLOOKUP(heroes[[#This Row],[Hero]],'Warehouse - Cards'!$AB$4:$AI$400,7,FALSE)=0,"",VLOOKUP(heroes[[#This Row],[Hero]],'Warehouse - Cards'!$AB$4:$AI$400,7,FALSE)),"")</f>
        <v>5000</v>
      </c>
      <c r="M17" s="226" t="str">
        <f>+_xlfn.IFNA(IF(VLOOKUP(heroes[[#This Row],[Hero]],'Warehouse - Cards'!$AB$4:$AI$400,8,FALSE)=0,"",VLOOKUP(heroes[[#This Row],[Hero]],'Warehouse - Cards'!$AB$4:$AI$400,8,FALSE)),"")</f>
        <v/>
      </c>
      <c r="N17" s="253">
        <f>+_xlfn.IFNA(heroes[[#This Row],[Level]]+VLOOKUP(heroes[[#This Row],[Skill Level]],$A$81:$B$90,2,FALSE),0)</f>
        <v>2255</v>
      </c>
      <c r="O17" s="226">
        <f>+IF(heroes[[#This Row],[Tower value]]&lt;50,0,IF(heroes[[#This Row],[Tower value]]&lt;=139,1,IF(heroes[[#This Row],[Tower value]]&lt;=299,2,IF(heroes[[#This Row],[Tower value]]&lt;=649,3,IF(heroes[[#This Row],[Tower value]]&lt;=1199,4,IF(heroes[[#This Row],[Tower value]]&lt;=2199,5,IF(heroes[[#This Row],[Tower value]]&lt;=3799,6,IF(heroes[[#This Row],[Tower value]]&gt;=3800,7))))))))</f>
        <v>6</v>
      </c>
      <c r="P17" s="141">
        <f>+_xlfn.IFNA(heroes[[#This Row],[Talent Level]]/INDEX(validation.talent[max],MATCH(heroes[[#This Row],[Talent]],validation.talent[talent],0)),-1)</f>
        <v>0.6</v>
      </c>
      <c r="Q17" s="261" t="str">
        <f>+VLOOKUP(heroes[[#This Row],[Hero]],validation.heroes[],4,FALSE)</f>
        <v>Legendary</v>
      </c>
      <c r="R17" s="143"/>
    </row>
    <row r="18" spans="1:18" ht="15" customHeight="1" x14ac:dyDescent="0.2">
      <c r="A18" s="25" t="s">
        <v>85</v>
      </c>
      <c r="B18"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Evo-040-88</v>
      </c>
      <c r="C18" s="145">
        <v>160</v>
      </c>
      <c r="D18" s="1" t="s">
        <v>6</v>
      </c>
      <c r="E18" s="147">
        <v>7</v>
      </c>
      <c r="F18" s="1" t="s">
        <v>54</v>
      </c>
      <c r="G18" s="9">
        <v>4</v>
      </c>
      <c r="H18" s="9">
        <v>86</v>
      </c>
      <c r="I18" s="1" t="s">
        <v>38</v>
      </c>
      <c r="J18" s="223">
        <v>3</v>
      </c>
      <c r="K18" s="142"/>
      <c r="L18" s="226">
        <f>+_xlfn.IFNA(IF(VLOOKUP(heroes[[#This Row],[Hero]],'Warehouse - Cards'!$AB$4:$AI$400,7,FALSE)=0,"",VLOOKUP(heroes[[#This Row],[Hero]],'Warehouse - Cards'!$AB$4:$AI$400,7,FALSE)),"")</f>
        <v>5000</v>
      </c>
      <c r="M18" s="226">
        <f>+_xlfn.IFNA(IF(VLOOKUP(heroes[[#This Row],[Hero]],'Warehouse - Cards'!$AB$4:$AI$400,8,FALSE)=0,"",VLOOKUP(heroes[[#This Row],[Hero]],'Warehouse - Cards'!$AB$4:$AI$400,8,FALSE)),"")</f>
        <v>60000</v>
      </c>
      <c r="N18" s="253">
        <f>+_xlfn.IFNA(heroes[[#This Row],[Level]]+VLOOKUP(heroes[[#This Row],[Skill Level]],$A$81:$B$90,2,FALSE),0)</f>
        <v>1220</v>
      </c>
      <c r="O18"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18" s="141">
        <f>+_xlfn.IFNA(heroes[[#This Row],[Talent Level]]/INDEX(validation.talent[max],MATCH(heroes[[#This Row],[Talent]],validation.talent[talent],0)),-1)</f>
        <v>0.5</v>
      </c>
      <c r="Q18" s="261" t="str">
        <f>+VLOOKUP(heroes[[#This Row],[Hero]],validation.heroes[],4,FALSE)</f>
        <v>Legendary</v>
      </c>
      <c r="R18" s="143"/>
    </row>
    <row r="19" spans="1:18" ht="15" customHeight="1" x14ac:dyDescent="0.2">
      <c r="A19" s="25" t="s">
        <v>31</v>
      </c>
      <c r="B19"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Evo-040-99</v>
      </c>
      <c r="C19" s="145">
        <v>160</v>
      </c>
      <c r="D19" s="1" t="s">
        <v>6</v>
      </c>
      <c r="E19" s="147">
        <v>9</v>
      </c>
      <c r="F19" s="1" t="s">
        <v>36</v>
      </c>
      <c r="G19" s="9">
        <v>4</v>
      </c>
      <c r="H19" s="9">
        <v>86</v>
      </c>
      <c r="I19" s="1" t="s">
        <v>52</v>
      </c>
      <c r="J19" s="223">
        <v>4</v>
      </c>
      <c r="K19" s="142"/>
      <c r="L19" s="226">
        <f>+_xlfn.IFNA(IF(VLOOKUP(heroes[[#This Row],[Hero]],'Warehouse - Cards'!$AB$4:$AI$400,7,FALSE)=0,"",VLOOKUP(heroes[[#This Row],[Hero]],'Warehouse - Cards'!$AB$4:$AI$400,7,FALSE)),"")</f>
        <v>5000</v>
      </c>
      <c r="M19" s="226" t="str">
        <f>+_xlfn.IFNA(IF(VLOOKUP(heroes[[#This Row],[Hero]],'Warehouse - Cards'!$AB$4:$AI$400,8,FALSE)=0,"",VLOOKUP(heroes[[#This Row],[Hero]],'Warehouse - Cards'!$AB$4:$AI$400,8,FALSE)),"")</f>
        <v/>
      </c>
      <c r="N19" s="253">
        <f>+_xlfn.IFNA(heroes[[#This Row],[Level]]+VLOOKUP(heroes[[#This Row],[Skill Level]],$A$81:$B$90,2,FALSE),0)</f>
        <v>3888</v>
      </c>
      <c r="O19" s="226">
        <f>+IF(heroes[[#This Row],[Tower value]]&lt;50,0,IF(heroes[[#This Row],[Tower value]]&lt;=139,1,IF(heroes[[#This Row],[Tower value]]&lt;=299,2,IF(heroes[[#This Row],[Tower value]]&lt;=649,3,IF(heroes[[#This Row],[Tower value]]&lt;=1199,4,IF(heroes[[#This Row],[Tower value]]&lt;=2199,5,IF(heroes[[#This Row],[Tower value]]&lt;=3799,6,IF(heroes[[#This Row],[Tower value]]&gt;=3800,7))))))))</f>
        <v>7</v>
      </c>
      <c r="P19" s="141">
        <f>+_xlfn.IFNA(heroes[[#This Row],[Talent Level]]/INDEX(validation.talent[max],MATCH(heroes[[#This Row],[Talent]],validation.talent[talent],0)),-1)</f>
        <v>0.8</v>
      </c>
      <c r="Q19" s="261" t="str">
        <f>+VLOOKUP(heroes[[#This Row],[Hero]],validation.heroes[],4,FALSE)</f>
        <v>Legendary</v>
      </c>
      <c r="R19" s="143"/>
    </row>
    <row r="20" spans="1:18" ht="15" customHeight="1" x14ac:dyDescent="0.2">
      <c r="A20" s="25" t="s">
        <v>91</v>
      </c>
      <c r="B20" s="251" t="str">
        <f>+_xlfn.IFNA(INDEX(validation.heroes[Type],MATCH(heroes[[#This Row],[Hero]],validation.heroes[Hero],0)),"4 -")&amp;"                    "&amp;heroes[[#This Row],[Evo?]]&amp;"-"&amp;TEXT(SUM(200-heroes[[#This Row],[Level]]),"000")&amp;"-"&amp;_xlfn.IFNA(SUM(INDEX(validation.heroes[SortKey],MATCH(heroes[[#This Row],[Hero]],validation.heroes[Hero],0))+heroes[[#This Row],[Inscr.]]),"")</f>
        <v>1 - Legend                    Evo-040-118</v>
      </c>
      <c r="C20" s="145">
        <v>160</v>
      </c>
      <c r="D20" s="1" t="s">
        <v>6</v>
      </c>
      <c r="E20" s="147">
        <v>7</v>
      </c>
      <c r="F20" s="1" t="s">
        <v>36</v>
      </c>
      <c r="G20" s="9">
        <v>5</v>
      </c>
      <c r="H20" s="9">
        <v>86</v>
      </c>
      <c r="I20" s="1" t="s">
        <v>46</v>
      </c>
      <c r="J20" s="223">
        <v>4</v>
      </c>
      <c r="K20" s="142"/>
      <c r="L20" s="226">
        <f>+_xlfn.IFNA(IF(VLOOKUP(heroes[[#This Row],[Hero]],'Warehouse - Cards'!$AB$4:$AI$400,7,FALSE)=0,"",VLOOKUP(heroes[[#This Row],[Hero]],'Warehouse - Cards'!$AB$4:$AI$400,7,FALSE)),"")</f>
        <v>5000</v>
      </c>
      <c r="M20" s="226">
        <f>+_xlfn.IFNA(IF(VLOOKUP(heroes[[#This Row],[Hero]],'Warehouse - Cards'!$AB$4:$AI$400,8,FALSE)=0,"",VLOOKUP(heroes[[#This Row],[Hero]],'Warehouse - Cards'!$AB$4:$AI$400,8,FALSE)),"")</f>
        <v>40000</v>
      </c>
      <c r="N20" s="253">
        <f>+_xlfn.IFNA(heroes[[#This Row],[Level]]+VLOOKUP(heroes[[#This Row],[Skill Level]],$A$81:$B$90,2,FALSE),0)</f>
        <v>1220</v>
      </c>
      <c r="O20"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20" s="141">
        <f>+_xlfn.IFNA(heroes[[#This Row],[Talent Level]]/INDEX(validation.talent[max],MATCH(heroes[[#This Row],[Talent]],validation.talent[talent],0)),-1)</f>
        <v>1</v>
      </c>
      <c r="Q20" s="261" t="str">
        <f>+VLOOKUP(heroes[[#This Row],[Hero]],validation.heroes[],4,FALSE)</f>
        <v>Legendary</v>
      </c>
      <c r="R20" s="143"/>
    </row>
    <row r="21" spans="1:18" ht="15" customHeight="1" x14ac:dyDescent="0.2">
      <c r="A21" s="25" t="s">
        <v>76</v>
      </c>
      <c r="B21" s="251" t="str">
        <f>+_xlfn.IFNA(INDEX(validation.heroes[Type],MATCH(heroes[[#This Row],[Hero]],validation.heroes[Hero],0)),"4 -")&amp;"                    "&amp;heroes[[#This Row],[Evo?]]&amp;"-"&amp;TEXT(SUM(200-heroes[[#This Row],[Level]]),"000")&amp;"-"&amp;_xlfn.IFNA(SUM(INDEX(validation.heroes[SortKey],MATCH(heroes[[#This Row],[Hero]],validation.heroes[Hero],0))+heroes[[#This Row],[Inscr.]]),"")</f>
        <v>1 - Legend                    Evo-100-101</v>
      </c>
      <c r="C21" s="145">
        <v>100</v>
      </c>
      <c r="D21" s="1" t="s">
        <v>6</v>
      </c>
      <c r="E21" s="147">
        <v>7</v>
      </c>
      <c r="F21" s="1" t="s">
        <v>46</v>
      </c>
      <c r="G21" s="9">
        <v>5</v>
      </c>
      <c r="H21" s="9">
        <v>80</v>
      </c>
      <c r="I21" s="1"/>
      <c r="J21" s="223"/>
      <c r="K21" s="142"/>
      <c r="L21" s="226">
        <f>+_xlfn.IFNA(IF(VLOOKUP(heroes[[#This Row],[Hero]],'Warehouse - Cards'!$AB$4:$AI$400,7,FALSE)=0,"",VLOOKUP(heroes[[#This Row],[Hero]],'Warehouse - Cards'!$AB$4:$AI$400,7,FALSE)),"")</f>
        <v>5000</v>
      </c>
      <c r="M21" s="226" t="str">
        <f>+_xlfn.IFNA(IF(VLOOKUP(heroes[[#This Row],[Hero]],'Warehouse - Cards'!$AB$4:$AI$400,8,FALSE)=0,"",VLOOKUP(heroes[[#This Row],[Hero]],'Warehouse - Cards'!$AB$4:$AI$400,8,FALSE)),"")</f>
        <v/>
      </c>
      <c r="N21" s="253">
        <f>+_xlfn.IFNA(heroes[[#This Row],[Level]]+VLOOKUP(heroes[[#This Row],[Skill Level]],$A$81:$B$90,2,FALSE),0)</f>
        <v>1160</v>
      </c>
      <c r="O21"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21" s="141">
        <f>+_xlfn.IFNA(heroes[[#This Row],[Talent Level]]/INDEX(validation.talent[max],MATCH(heroes[[#This Row],[Talent]],validation.talent[talent],0)),-1)</f>
        <v>0.625</v>
      </c>
      <c r="Q21" s="261" t="str">
        <f>+VLOOKUP(heroes[[#This Row],[Hero]],validation.heroes[],4,FALSE)</f>
        <v>Legendary</v>
      </c>
      <c r="R21" s="143"/>
    </row>
    <row r="22" spans="1:18" ht="15" customHeight="1" x14ac:dyDescent="0.2">
      <c r="A22" s="25" t="s">
        <v>63</v>
      </c>
      <c r="B22" s="251" t="str">
        <f>+_xlfn.IFNA(INDEX(validation.heroes[Type],MATCH(heroes[[#This Row],[Hero]],validation.heroes[Hero],0)),"4 -")&amp;"                    "&amp;heroes[[#This Row],[Evo?]]&amp;"-"&amp;TEXT(SUM(200-heroes[[#This Row],[Level]]),"000")&amp;"-"&amp;_xlfn.IFNA(SUM(INDEX(validation.heroes[SortKey],MATCH(heroes[[#This Row],[Hero]],validation.heroes[Hero],0))+heroes[[#This Row],[Inscr.]]),"")</f>
        <v>1 - Legend                    Evo-100-115</v>
      </c>
      <c r="C22" s="145">
        <v>100</v>
      </c>
      <c r="D22" s="1" t="s">
        <v>6</v>
      </c>
      <c r="E22" s="147">
        <v>5</v>
      </c>
      <c r="F22" s="1" t="s">
        <v>24</v>
      </c>
      <c r="G22" s="9">
        <v>4</v>
      </c>
      <c r="H22" s="9">
        <v>80</v>
      </c>
      <c r="I22" s="1"/>
      <c r="J22" s="223"/>
      <c r="K22" s="142"/>
      <c r="L22" s="226">
        <f>+_xlfn.IFNA(IF(VLOOKUP(heroes[[#This Row],[Hero]],'Warehouse - Cards'!$AB$4:$AI$400,7,FALSE)=0,"",VLOOKUP(heroes[[#This Row],[Hero]],'Warehouse - Cards'!$AB$4:$AI$400,7,FALSE)),"")</f>
        <v>5000</v>
      </c>
      <c r="M22" s="226" t="str">
        <f>+_xlfn.IFNA(IF(VLOOKUP(heroes[[#This Row],[Hero]],'Warehouse - Cards'!$AB$4:$AI$400,8,FALSE)=0,"",VLOOKUP(heroes[[#This Row],[Hero]],'Warehouse - Cards'!$AB$4:$AI$400,8,FALSE)),"")</f>
        <v/>
      </c>
      <c r="N22" s="253">
        <f>+_xlfn.IFNA(heroes[[#This Row],[Level]]+VLOOKUP(heroes[[#This Row],[Skill Level]],$A$81:$B$90,2,FALSE),0)</f>
        <v>456</v>
      </c>
      <c r="O22"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22" s="141">
        <f>+_xlfn.IFNA(heroes[[#This Row],[Talent Level]]/INDEX(validation.talent[max],MATCH(heroes[[#This Row],[Talent]],validation.talent[talent],0)),-1)</f>
        <v>0.8</v>
      </c>
      <c r="Q22" s="261" t="str">
        <f>+VLOOKUP(heroes[[#This Row],[Hero]],validation.heroes[],4,FALSE)</f>
        <v>Legendary</v>
      </c>
      <c r="R22" s="143"/>
    </row>
    <row r="23" spans="1:18" ht="15" customHeight="1" x14ac:dyDescent="0.2">
      <c r="A23" s="25" t="s">
        <v>59</v>
      </c>
      <c r="B23" s="251" t="str">
        <f>+_xlfn.IFNA(INDEX(validation.heroes[Type],MATCH(heroes[[#This Row],[Hero]],validation.heroes[Hero],0)),"4 -")&amp;"                    "&amp;heroes[[#This Row],[Evo?]]&amp;"-"&amp;TEXT(SUM(200-heroes[[#This Row],[Level]]),"000")&amp;"-"&amp;_xlfn.IFNA(SUM(INDEX(validation.heroes[SortKey],MATCH(heroes[[#This Row],[Hero]],validation.heroes[Hero],0))+heroes[[#This Row],[Inscr.]]),"")</f>
        <v>1 - Legend                    Evo-100-124</v>
      </c>
      <c r="C23" s="145">
        <v>100</v>
      </c>
      <c r="D23" s="1" t="s">
        <v>6</v>
      </c>
      <c r="E23" s="147">
        <v>7</v>
      </c>
      <c r="F23" s="1" t="s">
        <v>16</v>
      </c>
      <c r="G23" s="9">
        <v>4</v>
      </c>
      <c r="H23" s="9">
        <v>80</v>
      </c>
      <c r="I23" s="1" t="s">
        <v>38</v>
      </c>
      <c r="J23" s="223">
        <v>2</v>
      </c>
      <c r="K23" s="142"/>
      <c r="L23" s="226">
        <f>+_xlfn.IFNA(IF(VLOOKUP(heroes[[#This Row],[Hero]],'Warehouse - Cards'!$AB$4:$AI$400,7,FALSE)=0,"",VLOOKUP(heroes[[#This Row],[Hero]],'Warehouse - Cards'!$AB$4:$AI$400,7,FALSE)),"")</f>
        <v>5000</v>
      </c>
      <c r="M23" s="226">
        <f>+_xlfn.IFNA(IF(VLOOKUP(heroes[[#This Row],[Hero]],'Warehouse - Cards'!$AB$4:$AI$400,8,FALSE)=0,"",VLOOKUP(heroes[[#This Row],[Hero]],'Warehouse - Cards'!$AB$4:$AI$400,8,FALSE)),"")</f>
        <v>40000</v>
      </c>
      <c r="N23" s="253">
        <f>+_xlfn.IFNA(heroes[[#This Row],[Level]]+VLOOKUP(heroes[[#This Row],[Skill Level]],$A$81:$B$90,2,FALSE),0)</f>
        <v>1160</v>
      </c>
      <c r="O23"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23" s="141">
        <f>+_xlfn.IFNA(heroes[[#This Row],[Talent Level]]/INDEX(validation.talent[max],MATCH(heroes[[#This Row],[Talent]],validation.talent[talent],0)),-1)</f>
        <v>0.5</v>
      </c>
      <c r="Q23" s="261" t="str">
        <f>+VLOOKUP(heroes[[#This Row],[Hero]],validation.heroes[],4,FALSE)</f>
        <v>Legendary</v>
      </c>
      <c r="R23" s="143"/>
    </row>
    <row r="24" spans="1:18" ht="15" customHeight="1" x14ac:dyDescent="0.2">
      <c r="A24" s="25" t="s">
        <v>87</v>
      </c>
      <c r="B24" s="251" t="str">
        <f>+_xlfn.IFNA(INDEX(validation.heroes[Type],MATCH(heroes[[#This Row],[Hero]],validation.heroes[Hero],0)),"4 -")&amp;"                    "&amp;heroes[[#This Row],[Evo?]]&amp;"-"&amp;TEXT(SUM(200-heroes[[#This Row],[Level]]),"000")&amp;"-"&amp;_xlfn.IFNA(SUM(INDEX(validation.heroes[SortKey],MATCH(heroes[[#This Row],[Hero]],validation.heroes[Hero],0))+heroes[[#This Row],[Inscr.]]),"")</f>
        <v>1 - Legend                    Evo-100-91</v>
      </c>
      <c r="C24" s="145">
        <v>100</v>
      </c>
      <c r="D24" s="1" t="s">
        <v>6</v>
      </c>
      <c r="E24" s="147">
        <v>6</v>
      </c>
      <c r="F24" s="1" t="s">
        <v>38</v>
      </c>
      <c r="G24" s="9">
        <v>5</v>
      </c>
      <c r="H24" s="9">
        <v>84</v>
      </c>
      <c r="I24" s="1"/>
      <c r="J24" s="223"/>
      <c r="K24" s="142"/>
      <c r="L24" s="226">
        <f>+_xlfn.IFNA(IF(VLOOKUP(heroes[[#This Row],[Hero]],'Warehouse - Cards'!$AB$4:$AI$400,7,FALSE)=0,"",VLOOKUP(heroes[[#This Row],[Hero]],'Warehouse - Cards'!$AB$4:$AI$400,7,FALSE)),"")</f>
        <v>5000</v>
      </c>
      <c r="M24" s="226" t="str">
        <f>+_xlfn.IFNA(IF(VLOOKUP(heroes[[#This Row],[Hero]],'Warehouse - Cards'!$AB$4:$AI$400,8,FALSE)=0,"",VLOOKUP(heroes[[#This Row],[Hero]],'Warehouse - Cards'!$AB$4:$AI$400,8,FALSE)),"")</f>
        <v/>
      </c>
      <c r="N24" s="253">
        <f>+_xlfn.IFNA(heroes[[#This Row],[Level]]+VLOOKUP(heroes[[#This Row],[Skill Level]],$A$81:$B$90,2,FALSE),0)</f>
        <v>729</v>
      </c>
      <c r="O24"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24" s="141">
        <f>+_xlfn.IFNA(heroes[[#This Row],[Talent Level]]/INDEX(validation.talent[max],MATCH(heroes[[#This Row],[Talent]],validation.talent[talent],0)),-1)</f>
        <v>0.625</v>
      </c>
      <c r="Q24" s="261" t="str">
        <f>+VLOOKUP(heroes[[#This Row],[Hero]],validation.heroes[],4,FALSE)</f>
        <v>Legendary</v>
      </c>
      <c r="R24" s="143"/>
    </row>
    <row r="25" spans="1:18" ht="15" customHeight="1" x14ac:dyDescent="0.2">
      <c r="A25" s="25" t="s">
        <v>45</v>
      </c>
      <c r="B25" s="251" t="str">
        <f>+_xlfn.IFNA(INDEX(validation.heroes[Type],MATCH(heroes[[#This Row],[Hero]],validation.heroes[Hero],0)),"4 -")&amp;"                    "&amp;heroes[[#This Row],[Evo?]]&amp;"-"&amp;TEXT(SUM(200-heroes[[#This Row],[Level]]),"000")&amp;"-"&amp;_xlfn.IFNA(SUM(INDEX(validation.heroes[SortKey],MATCH(heroes[[#This Row],[Hero]],validation.heroes[Hero],0))+heroes[[#This Row],[Inscr.]]),"")</f>
        <v>1 - Legend                    Evo-100-93</v>
      </c>
      <c r="C25" s="145">
        <v>100</v>
      </c>
      <c r="D25" s="1" t="s">
        <v>6</v>
      </c>
      <c r="E25" s="147">
        <v>7</v>
      </c>
      <c r="F25" s="1" t="s">
        <v>8</v>
      </c>
      <c r="G25" s="9">
        <v>4</v>
      </c>
      <c r="H25" s="9">
        <v>87</v>
      </c>
      <c r="I25" s="1" t="s">
        <v>46</v>
      </c>
      <c r="J25" s="223">
        <v>3</v>
      </c>
      <c r="K25" s="142"/>
      <c r="L25" s="226">
        <f>+_xlfn.IFNA(IF(VLOOKUP(heroes[[#This Row],[Hero]],'Warehouse - Cards'!$AB$4:$AI$400,7,FALSE)=0,"",VLOOKUP(heroes[[#This Row],[Hero]],'Warehouse - Cards'!$AB$4:$AI$400,7,FALSE)),"")</f>
        <v>5000</v>
      </c>
      <c r="M25" s="226" t="str">
        <f>+_xlfn.IFNA(IF(VLOOKUP(heroes[[#This Row],[Hero]],'Warehouse - Cards'!$AB$4:$AI$400,8,FALSE)=0,"",VLOOKUP(heroes[[#This Row],[Hero]],'Warehouse - Cards'!$AB$4:$AI$400,8,FALSE)),"")</f>
        <v/>
      </c>
      <c r="N25" s="253">
        <f>+_xlfn.IFNA(heroes[[#This Row],[Level]]+VLOOKUP(heroes[[#This Row],[Skill Level]],$A$81:$B$90,2,FALSE),0)</f>
        <v>1160</v>
      </c>
      <c r="O25"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25" s="141">
        <f>+_xlfn.IFNA(heroes[[#This Row],[Talent Level]]/INDEX(validation.talent[max],MATCH(heroes[[#This Row],[Talent]],validation.talent[talent],0)),-1)</f>
        <v>0.5</v>
      </c>
      <c r="Q25" s="261" t="str">
        <f>+VLOOKUP(heroes[[#This Row],[Hero]],validation.heroes[],4,FALSE)</f>
        <v>Legendary</v>
      </c>
      <c r="R25" s="143"/>
    </row>
    <row r="26" spans="1:18" ht="15" customHeight="1" x14ac:dyDescent="0.2">
      <c r="A26" s="25" t="s">
        <v>70</v>
      </c>
      <c r="B26" s="251" t="str">
        <f>+_xlfn.IFNA(INDEX(validation.heroes[Type],MATCH(heroes[[#This Row],[Hero]],validation.heroes[Hero],0)),"4 -")&amp;"                    "&amp;heroes[[#This Row],[Evo?]]&amp;"-"&amp;TEXT(SUM(200-heroes[[#This Row],[Level]]),"000")&amp;"-"&amp;_xlfn.IFNA(SUM(INDEX(validation.heroes[SortKey],MATCH(heroes[[#This Row],[Hero]],validation.heroes[Hero],0))+heroes[[#This Row],[Inscr.]]),"")</f>
        <v>1 - Legend                    No-020-95</v>
      </c>
      <c r="C26" s="145">
        <v>180</v>
      </c>
      <c r="D26" s="1" t="s">
        <v>15</v>
      </c>
      <c r="E26" s="147">
        <v>4</v>
      </c>
      <c r="F26" s="1" t="s">
        <v>40</v>
      </c>
      <c r="G26" s="9">
        <v>4</v>
      </c>
      <c r="H26" s="9">
        <v>80</v>
      </c>
      <c r="I26" s="1"/>
      <c r="J26" s="223"/>
      <c r="K26" s="142"/>
      <c r="L26" s="226">
        <f>+_xlfn.IFNA(IF(VLOOKUP(heroes[[#This Row],[Hero]],'Warehouse - Cards'!$AB$4:$AI$400,7,FALSE)=0,"",VLOOKUP(heroes[[#This Row],[Hero]],'Warehouse - Cards'!$AB$4:$AI$400,7,FALSE)),"")</f>
        <v>6000</v>
      </c>
      <c r="M26" s="226">
        <f>+_xlfn.IFNA(IF(VLOOKUP(heroes[[#This Row],[Hero]],'Warehouse - Cards'!$AB$4:$AI$400,8,FALSE)=0,"",VLOOKUP(heroes[[#This Row],[Hero]],'Warehouse - Cards'!$AB$4:$AI$400,8,FALSE)),"")</f>
        <v>80000</v>
      </c>
      <c r="N26" s="253">
        <f>+_xlfn.IFNA(heroes[[#This Row],[Level]]+VLOOKUP(heroes[[#This Row],[Skill Level]],$A$81:$B$90,2,FALSE),0)</f>
        <v>363</v>
      </c>
      <c r="O26"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26" s="141">
        <f>+_xlfn.IFNA(heroes[[#This Row],[Talent Level]]/INDEX(validation.talent[max],MATCH(heroes[[#This Row],[Talent]],validation.talent[talent],0)),-1)</f>
        <v>0.5</v>
      </c>
      <c r="Q26" s="261" t="str">
        <f>+VLOOKUP(heroes[[#This Row],[Hero]],validation.heroes[],4,FALSE)</f>
        <v>Legendary</v>
      </c>
      <c r="R26" s="143"/>
    </row>
    <row r="27" spans="1:18" ht="15" customHeight="1" x14ac:dyDescent="0.2">
      <c r="A27" s="25" t="s">
        <v>68</v>
      </c>
      <c r="B27" s="251" t="str">
        <f>+_xlfn.IFNA(INDEX(validation.heroes[Type],MATCH(heroes[[#This Row],[Hero]],validation.heroes[Hero],0)),"4 -")&amp;"                    "&amp;heroes[[#This Row],[Evo?]]&amp;"-"&amp;TEXT(SUM(200-heroes[[#This Row],[Level]]),"000")&amp;"-"&amp;_xlfn.IFNA(SUM(INDEX(validation.heroes[SortKey],MATCH(heroes[[#This Row],[Hero]],validation.heroes[Hero],0))+heroes[[#This Row],[Inscr.]]),"")</f>
        <v>1 - Legend                    No-032-123</v>
      </c>
      <c r="C27" s="145">
        <v>168</v>
      </c>
      <c r="D27" s="1" t="s">
        <v>15</v>
      </c>
      <c r="E27" s="147">
        <v>6</v>
      </c>
      <c r="F27" s="1" t="s">
        <v>52</v>
      </c>
      <c r="G27" s="9">
        <v>6</v>
      </c>
      <c r="H27" s="9">
        <v>80</v>
      </c>
      <c r="I27" s="1"/>
      <c r="J27" s="223"/>
      <c r="K27" s="142"/>
      <c r="L27" s="226">
        <f>+_xlfn.IFNA(IF(VLOOKUP(heroes[[#This Row],[Hero]],'Warehouse - Cards'!$AB$4:$AI$400,7,FALSE)=0,"",VLOOKUP(heroes[[#This Row],[Hero]],'Warehouse - Cards'!$AB$4:$AI$400,7,FALSE)),"")</f>
        <v>6000</v>
      </c>
      <c r="M27" s="226">
        <f>+_xlfn.IFNA(IF(VLOOKUP(heroes[[#This Row],[Hero]],'Warehouse - Cards'!$AB$4:$AI$400,8,FALSE)=0,"",VLOOKUP(heroes[[#This Row],[Hero]],'Warehouse - Cards'!$AB$4:$AI$400,8,FALSE)),"")</f>
        <v>60000</v>
      </c>
      <c r="N27" s="253">
        <f>+_xlfn.IFNA(heroes[[#This Row],[Level]]+VLOOKUP(heroes[[#This Row],[Skill Level]],$A$81:$B$90,2,FALSE),0)</f>
        <v>797</v>
      </c>
      <c r="O27"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27" s="141">
        <f>+_xlfn.IFNA(heroes[[#This Row],[Talent Level]]/INDEX(validation.talent[max],MATCH(heroes[[#This Row],[Talent]],validation.talent[talent],0)),-1)</f>
        <v>0.75</v>
      </c>
      <c r="Q27" s="261" t="str">
        <f>+VLOOKUP(heroes[[#This Row],[Hero]],validation.heroes[],4,FALSE)</f>
        <v>Legendary</v>
      </c>
      <c r="R27" s="143"/>
    </row>
    <row r="28" spans="1:18" ht="15" customHeight="1" x14ac:dyDescent="0.2">
      <c r="A28" s="25" t="s">
        <v>82</v>
      </c>
      <c r="B28"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No-060-102</v>
      </c>
      <c r="C28" s="145">
        <v>140</v>
      </c>
      <c r="D28" s="1" t="s">
        <v>15</v>
      </c>
      <c r="E28" s="147">
        <v>4</v>
      </c>
      <c r="F28" s="1" t="s">
        <v>30</v>
      </c>
      <c r="G28" s="9">
        <v>5</v>
      </c>
      <c r="H28" s="9">
        <v>80</v>
      </c>
      <c r="I28" s="1" t="s">
        <v>46</v>
      </c>
      <c r="J28" s="223">
        <v>2</v>
      </c>
      <c r="K28" s="142"/>
      <c r="L28" s="226">
        <f>+_xlfn.IFNA(IF(VLOOKUP(heroes[[#This Row],[Hero]],'Warehouse - Cards'!$AB$4:$AI$400,7,FALSE)=0,"",VLOOKUP(heroes[[#This Row],[Hero]],'Warehouse - Cards'!$AB$4:$AI$400,7,FALSE)),"")</f>
        <v>6000</v>
      </c>
      <c r="M28" s="226" t="str">
        <f>+_xlfn.IFNA(IF(VLOOKUP(heroes[[#This Row],[Hero]],'Warehouse - Cards'!$AB$4:$AI$400,8,FALSE)=0,"",VLOOKUP(heroes[[#This Row],[Hero]],'Warehouse - Cards'!$AB$4:$AI$400,8,FALSE)),"")</f>
        <v/>
      </c>
      <c r="N28" s="253">
        <f>+_xlfn.IFNA(heroes[[#This Row],[Level]]+VLOOKUP(heroes[[#This Row],[Skill Level]],$A$81:$B$90,2,FALSE),0)</f>
        <v>323</v>
      </c>
      <c r="O28"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28" s="141">
        <f>+_xlfn.IFNA(heroes[[#This Row],[Talent Level]]/INDEX(validation.talent[max],MATCH(heroes[[#This Row],[Talent]],validation.talent[talent],0)),-1)</f>
        <v>0.625</v>
      </c>
      <c r="Q28" s="261" t="str">
        <f>+VLOOKUP(heroes[[#This Row],[Hero]],validation.heroes[],4,FALSE)</f>
        <v>Legendary</v>
      </c>
      <c r="R28" s="143"/>
    </row>
    <row r="29" spans="1:18" ht="15" customHeight="1" x14ac:dyDescent="0.2">
      <c r="A29" s="25" t="s">
        <v>25</v>
      </c>
      <c r="B29"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No-060-114</v>
      </c>
      <c r="C29" s="145">
        <v>140</v>
      </c>
      <c r="D29" s="1" t="s">
        <v>15</v>
      </c>
      <c r="E29" s="147">
        <v>4</v>
      </c>
      <c r="F29" s="1" t="s">
        <v>54</v>
      </c>
      <c r="G29" s="9">
        <v>4</v>
      </c>
      <c r="H29" s="9">
        <v>80</v>
      </c>
      <c r="I29" s="1"/>
      <c r="J29" s="223"/>
      <c r="K29" s="142"/>
      <c r="L29" s="226">
        <f>+_xlfn.IFNA(IF(VLOOKUP(heroes[[#This Row],[Hero]],'Warehouse - Cards'!$AB$4:$AI$400,7,FALSE)=0,"",VLOOKUP(heroes[[#This Row],[Hero]],'Warehouse - Cards'!$AB$4:$AI$400,7,FALSE)),"")</f>
        <v>6000</v>
      </c>
      <c r="M29" s="226" t="str">
        <f>+_xlfn.IFNA(IF(VLOOKUP(heroes[[#This Row],[Hero]],'Warehouse - Cards'!$AB$4:$AI$400,8,FALSE)=0,"",VLOOKUP(heroes[[#This Row],[Hero]],'Warehouse - Cards'!$AB$4:$AI$400,8,FALSE)),"")</f>
        <v/>
      </c>
      <c r="N29" s="253">
        <f>+_xlfn.IFNA(heroes[[#This Row],[Level]]+VLOOKUP(heroes[[#This Row],[Skill Level]],$A$81:$B$90,2,FALSE),0)</f>
        <v>323</v>
      </c>
      <c r="O29"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29" s="141">
        <f>+_xlfn.IFNA(heroes[[#This Row],[Talent Level]]/INDEX(validation.talent[max],MATCH(heroes[[#This Row],[Talent]],validation.talent[talent],0)),-1)</f>
        <v>0.5</v>
      </c>
      <c r="Q29" s="261" t="str">
        <f>+VLOOKUP(heroes[[#This Row],[Hero]],validation.heroes[],4,FALSE)</f>
        <v>Legendary</v>
      </c>
      <c r="R29" s="143"/>
    </row>
    <row r="30" spans="1:18" ht="15" customHeight="1" x14ac:dyDescent="0.2">
      <c r="A30" s="25" t="s">
        <v>67</v>
      </c>
      <c r="B30"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No-060-118</v>
      </c>
      <c r="C30" s="145">
        <v>140</v>
      </c>
      <c r="D30" s="1" t="s">
        <v>15</v>
      </c>
      <c r="E30" s="147">
        <v>1</v>
      </c>
      <c r="F30" s="1" t="s">
        <v>36</v>
      </c>
      <c r="G30" s="9">
        <v>3</v>
      </c>
      <c r="H30" s="9">
        <v>80</v>
      </c>
      <c r="I30" s="1" t="s">
        <v>16</v>
      </c>
      <c r="J30" s="223">
        <v>3</v>
      </c>
      <c r="K30" s="142"/>
      <c r="L30" s="226">
        <f>+_xlfn.IFNA(IF(VLOOKUP(heroes[[#This Row],[Hero]],'Warehouse - Cards'!$AB$4:$AI$400,7,FALSE)=0,"",VLOOKUP(heroes[[#This Row],[Hero]],'Warehouse - Cards'!$AB$4:$AI$400,7,FALSE)),"")</f>
        <v>6000</v>
      </c>
      <c r="M30" s="226">
        <f>+_xlfn.IFNA(IF(VLOOKUP(heroes[[#This Row],[Hero]],'Warehouse - Cards'!$AB$4:$AI$400,8,FALSE)=0,"",VLOOKUP(heroes[[#This Row],[Hero]],'Warehouse - Cards'!$AB$4:$AI$400,8,FALSE)),"")</f>
        <v>80000</v>
      </c>
      <c r="N30" s="253">
        <f>+_xlfn.IFNA(heroes[[#This Row],[Level]]+VLOOKUP(heroes[[#This Row],[Skill Level]],$A$81:$B$90,2,FALSE),0)</f>
        <v>141</v>
      </c>
      <c r="O30"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30" s="141">
        <f>+_xlfn.IFNA(heroes[[#This Row],[Talent Level]]/INDEX(validation.talent[max],MATCH(heroes[[#This Row],[Talent]],validation.talent[talent],0)),-1)</f>
        <v>0.6</v>
      </c>
      <c r="Q30" s="261" t="str">
        <f>+VLOOKUP(heroes[[#This Row],[Hero]],validation.heroes[],4,FALSE)</f>
        <v>Legendary</v>
      </c>
      <c r="R30" s="143"/>
    </row>
    <row r="31" spans="1:18" ht="15" customHeight="1" x14ac:dyDescent="0.2">
      <c r="A31" s="25" t="s">
        <v>90</v>
      </c>
      <c r="B31"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No-060-120</v>
      </c>
      <c r="C31" s="145">
        <v>140</v>
      </c>
      <c r="D31" s="1" t="s">
        <v>15</v>
      </c>
      <c r="E31" s="147">
        <v>1</v>
      </c>
      <c r="F31" s="1" t="s">
        <v>24</v>
      </c>
      <c r="G31" s="9">
        <v>3</v>
      </c>
      <c r="H31" s="9">
        <v>80</v>
      </c>
      <c r="I31" s="1"/>
      <c r="J31" s="223"/>
      <c r="K31" s="142"/>
      <c r="L31" s="226">
        <f>+_xlfn.IFNA(IF(VLOOKUP(heroes[[#This Row],[Hero]],'Warehouse - Cards'!$AB$4:$AI$400,7,FALSE)=0,"",VLOOKUP(heroes[[#This Row],[Hero]],'Warehouse - Cards'!$AB$4:$AI$400,7,FALSE)),"")</f>
        <v>6000</v>
      </c>
      <c r="M31" s="226">
        <f>+_xlfn.IFNA(IF(VLOOKUP(heroes[[#This Row],[Hero]],'Warehouse - Cards'!$AB$4:$AI$400,8,FALSE)=0,"",VLOOKUP(heroes[[#This Row],[Hero]],'Warehouse - Cards'!$AB$4:$AI$400,8,FALSE)),"")</f>
        <v>60000</v>
      </c>
      <c r="N31" s="253">
        <f>+_xlfn.IFNA(heroes[[#This Row],[Level]]+VLOOKUP(heroes[[#This Row],[Skill Level]],$A$81:$B$90,2,FALSE),0)</f>
        <v>141</v>
      </c>
      <c r="O31"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31" s="141">
        <f>+_xlfn.IFNA(heroes[[#This Row],[Talent Level]]/INDEX(validation.talent[max],MATCH(heroes[[#This Row],[Talent]],validation.talent[talent],0)),-1)</f>
        <v>0.6</v>
      </c>
      <c r="Q31" s="261" t="str">
        <f>+VLOOKUP(heroes[[#This Row],[Hero]],validation.heroes[],4,FALSE)</f>
        <v>Legendary</v>
      </c>
      <c r="R31" s="143"/>
    </row>
    <row r="32" spans="1:18" ht="15" customHeight="1" x14ac:dyDescent="0.2">
      <c r="A32" s="25" t="s">
        <v>78</v>
      </c>
      <c r="B32"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No-060-121</v>
      </c>
      <c r="C32" s="145">
        <v>140</v>
      </c>
      <c r="D32" s="1" t="s">
        <v>15</v>
      </c>
      <c r="E32" s="147">
        <v>3</v>
      </c>
      <c r="F32" s="1" t="s">
        <v>20</v>
      </c>
      <c r="G32" s="9">
        <v>3</v>
      </c>
      <c r="H32" s="9">
        <v>80</v>
      </c>
      <c r="I32" s="1"/>
      <c r="J32" s="223"/>
      <c r="K32" s="142"/>
      <c r="L32" s="226">
        <f>+_xlfn.IFNA(IF(VLOOKUP(heroes[[#This Row],[Hero]],'Warehouse - Cards'!$AB$4:$AI$400,7,FALSE)=0,"",VLOOKUP(heroes[[#This Row],[Hero]],'Warehouse - Cards'!$AB$4:$AI$400,7,FALSE)),"")</f>
        <v>6000</v>
      </c>
      <c r="M32" s="226">
        <f>+_xlfn.IFNA(IF(VLOOKUP(heroes[[#This Row],[Hero]],'Warehouse - Cards'!$AB$4:$AI$400,8,FALSE)=0,"",VLOOKUP(heroes[[#This Row],[Hero]],'Warehouse - Cards'!$AB$4:$AI$400,8,FALSE)),"")</f>
        <v>40000</v>
      </c>
      <c r="N32" s="253">
        <f>+_xlfn.IFNA(heroes[[#This Row],[Level]]+VLOOKUP(heroes[[#This Row],[Skill Level]],$A$81:$B$90,2,FALSE),0)</f>
        <v>230</v>
      </c>
      <c r="O32"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32" s="141">
        <f>+_xlfn.IFNA(heroes[[#This Row],[Talent Level]]/INDEX(validation.talent[max],MATCH(heroes[[#This Row],[Talent]],validation.talent[talent],0)),-1)</f>
        <v>0.6</v>
      </c>
      <c r="Q32" s="261" t="str">
        <f>+VLOOKUP(heroes[[#This Row],[Hero]],validation.heroes[],4,FALSE)</f>
        <v>Legendary</v>
      </c>
      <c r="R32" s="143"/>
    </row>
    <row r="33" spans="1:18" ht="15" customHeight="1" x14ac:dyDescent="0.2">
      <c r="A33" s="25" t="s">
        <v>64</v>
      </c>
      <c r="B33"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No-060-122</v>
      </c>
      <c r="C33" s="145">
        <v>140</v>
      </c>
      <c r="D33" s="1" t="s">
        <v>15</v>
      </c>
      <c r="E33" s="147">
        <v>5</v>
      </c>
      <c r="F33" s="1" t="s">
        <v>24</v>
      </c>
      <c r="G33" s="9">
        <v>2</v>
      </c>
      <c r="H33" s="9">
        <v>80</v>
      </c>
      <c r="I33" s="1" t="s">
        <v>38</v>
      </c>
      <c r="J33" s="223">
        <v>3</v>
      </c>
      <c r="K33" s="142"/>
      <c r="L33" s="226">
        <f>+_xlfn.IFNA(IF(VLOOKUP(heroes[[#This Row],[Hero]],'Warehouse - Cards'!$AB$4:$AI$400,7,FALSE)=0,"",VLOOKUP(heroes[[#This Row],[Hero]],'Warehouse - Cards'!$AB$4:$AI$400,7,FALSE)),"")</f>
        <v>6000</v>
      </c>
      <c r="M33" s="226">
        <f>+_xlfn.IFNA(IF(VLOOKUP(heroes[[#This Row],[Hero]],'Warehouse - Cards'!$AB$4:$AI$400,8,FALSE)=0,"",VLOOKUP(heroes[[#This Row],[Hero]],'Warehouse - Cards'!$AB$4:$AI$400,8,FALSE)),"")</f>
        <v>40000</v>
      </c>
      <c r="N33" s="253">
        <f>+_xlfn.IFNA(heroes[[#This Row],[Level]]+VLOOKUP(heroes[[#This Row],[Skill Level]],$A$81:$B$90,2,FALSE),0)</f>
        <v>496</v>
      </c>
      <c r="O33"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3" s="141">
        <f>+_xlfn.IFNA(heroes[[#This Row],[Talent Level]]/INDEX(validation.talent[max],MATCH(heroes[[#This Row],[Talent]],validation.talent[talent],0)),-1)</f>
        <v>0.4</v>
      </c>
      <c r="Q33" s="261" t="str">
        <f>+VLOOKUP(heroes[[#This Row],[Hero]],validation.heroes[],4,FALSE)</f>
        <v>Legendary</v>
      </c>
      <c r="R33" s="143"/>
    </row>
    <row r="34" spans="1:18" ht="15" customHeight="1" x14ac:dyDescent="0.2">
      <c r="A34" s="25" t="s">
        <v>74</v>
      </c>
      <c r="B34"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No-060-81</v>
      </c>
      <c r="C34" s="145">
        <v>140</v>
      </c>
      <c r="D34" s="1" t="s">
        <v>15</v>
      </c>
      <c r="E34" s="147">
        <v>4</v>
      </c>
      <c r="F34" s="1" t="s">
        <v>28</v>
      </c>
      <c r="G34" s="9">
        <v>5</v>
      </c>
      <c r="H34" s="9">
        <v>80</v>
      </c>
      <c r="I34" s="1" t="s">
        <v>52</v>
      </c>
      <c r="J34" s="223">
        <v>3</v>
      </c>
      <c r="K34" s="142"/>
      <c r="L34" s="226">
        <f>+_xlfn.IFNA(IF(VLOOKUP(heroes[[#This Row],[Hero]],'Warehouse - Cards'!$AB$4:$AI$400,7,FALSE)=0,"",VLOOKUP(heroes[[#This Row],[Hero]],'Warehouse - Cards'!$AB$4:$AI$400,7,FALSE)),"")</f>
        <v>6000</v>
      </c>
      <c r="M34" s="226" t="str">
        <f>+_xlfn.IFNA(IF(VLOOKUP(heroes[[#This Row],[Hero]],'Warehouse - Cards'!$AB$4:$AI$400,8,FALSE)=0,"",VLOOKUP(heroes[[#This Row],[Hero]],'Warehouse - Cards'!$AB$4:$AI$400,8,FALSE)),"")</f>
        <v/>
      </c>
      <c r="N34" s="253">
        <f>+_xlfn.IFNA(heroes[[#This Row],[Level]]+VLOOKUP(heroes[[#This Row],[Skill Level]],$A$81:$B$90,2,FALSE),0)</f>
        <v>323</v>
      </c>
      <c r="O34"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4" s="141">
        <f>+_xlfn.IFNA(heroes[[#This Row],[Talent Level]]/INDEX(validation.talent[max],MATCH(heroes[[#This Row],[Talent]],validation.talent[talent],0)),-1)</f>
        <v>1</v>
      </c>
      <c r="Q34" s="261" t="str">
        <f>+VLOOKUP(heroes[[#This Row],[Hero]],validation.heroes[],4,FALSE)</f>
        <v>Legendary</v>
      </c>
      <c r="R34" s="143"/>
    </row>
    <row r="35" spans="1:18" ht="15" customHeight="1" x14ac:dyDescent="0.2">
      <c r="A35" s="25" t="s">
        <v>71</v>
      </c>
      <c r="B35"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No-060-83</v>
      </c>
      <c r="C35" s="145">
        <v>140</v>
      </c>
      <c r="D35" s="1" t="s">
        <v>15</v>
      </c>
      <c r="E35" s="147">
        <v>5</v>
      </c>
      <c r="F35" s="1" t="s">
        <v>44</v>
      </c>
      <c r="G35" s="9">
        <v>5</v>
      </c>
      <c r="H35" s="9">
        <v>80</v>
      </c>
      <c r="I35" s="1" t="s">
        <v>13</v>
      </c>
      <c r="J35" s="223">
        <v>3</v>
      </c>
      <c r="K35" s="142"/>
      <c r="L35" s="226">
        <f>+_xlfn.IFNA(IF(VLOOKUP(heroes[[#This Row],[Hero]],'Warehouse - Cards'!$AB$4:$AI$400,7,FALSE)=0,"",VLOOKUP(heroes[[#This Row],[Hero]],'Warehouse - Cards'!$AB$4:$AI$400,7,FALSE)),"")</f>
        <v>6000</v>
      </c>
      <c r="M35" s="226" t="str">
        <f>+_xlfn.IFNA(IF(VLOOKUP(heroes[[#This Row],[Hero]],'Warehouse - Cards'!$AB$4:$AI$400,8,FALSE)=0,"",VLOOKUP(heroes[[#This Row],[Hero]],'Warehouse - Cards'!$AB$4:$AI$400,8,FALSE)),"")</f>
        <v/>
      </c>
      <c r="N35" s="253">
        <f>+_xlfn.IFNA(heroes[[#This Row],[Level]]+VLOOKUP(heroes[[#This Row],[Skill Level]],$A$81:$B$90,2,FALSE),0)</f>
        <v>496</v>
      </c>
      <c r="O35"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5" s="141">
        <f>+_xlfn.IFNA(heroes[[#This Row],[Talent Level]]/INDEX(validation.talent[max],MATCH(heroes[[#This Row],[Talent]],validation.talent[talent],0)),-1)</f>
        <v>0.625</v>
      </c>
      <c r="Q35" s="261" t="str">
        <f>+VLOOKUP(heroes[[#This Row],[Hero]],validation.heroes[],4,FALSE)</f>
        <v>Legendary</v>
      </c>
      <c r="R35" s="143"/>
    </row>
    <row r="36" spans="1:18" ht="15" customHeight="1" x14ac:dyDescent="0.2">
      <c r="A36" s="25" t="s">
        <v>86</v>
      </c>
      <c r="B36"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No-060-84</v>
      </c>
      <c r="C36" s="145">
        <v>140</v>
      </c>
      <c r="D36" s="1" t="s">
        <v>15</v>
      </c>
      <c r="E36" s="147">
        <v>4</v>
      </c>
      <c r="F36" s="1" t="s">
        <v>48</v>
      </c>
      <c r="G36" s="9">
        <v>5</v>
      </c>
      <c r="H36" s="9">
        <v>80</v>
      </c>
      <c r="I36" s="1"/>
      <c r="J36" s="223"/>
      <c r="K36" s="142"/>
      <c r="L36" s="226">
        <f>+_xlfn.IFNA(IF(VLOOKUP(heroes[[#This Row],[Hero]],'Warehouse - Cards'!$AB$4:$AI$400,7,FALSE)=0,"",VLOOKUP(heroes[[#This Row],[Hero]],'Warehouse - Cards'!$AB$4:$AI$400,7,FALSE)),"")</f>
        <v>6000</v>
      </c>
      <c r="M36" s="226" t="str">
        <f>+_xlfn.IFNA(IF(VLOOKUP(heroes[[#This Row],[Hero]],'Warehouse - Cards'!$AB$4:$AI$400,8,FALSE)=0,"",VLOOKUP(heroes[[#This Row],[Hero]],'Warehouse - Cards'!$AB$4:$AI$400,8,FALSE)),"")</f>
        <v/>
      </c>
      <c r="N36" s="253">
        <f>+_xlfn.IFNA(heroes[[#This Row],[Level]]+VLOOKUP(heroes[[#This Row],[Skill Level]],$A$81:$B$90,2,FALSE),0)</f>
        <v>323</v>
      </c>
      <c r="O36"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6" s="141">
        <f>+_xlfn.IFNA(heroes[[#This Row],[Talent Level]]/INDEX(validation.talent[max],MATCH(heroes[[#This Row],[Talent]],validation.talent[talent],0)),-1)</f>
        <v>0.625</v>
      </c>
      <c r="Q36" s="261" t="str">
        <f>+VLOOKUP(heroes[[#This Row],[Hero]],validation.heroes[],4,FALSE)</f>
        <v>Legendary</v>
      </c>
      <c r="R36" s="143"/>
    </row>
    <row r="37" spans="1:18" ht="15" customHeight="1" x14ac:dyDescent="0.2">
      <c r="A37" s="25" t="s">
        <v>29</v>
      </c>
      <c r="B37"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No-060-85</v>
      </c>
      <c r="C37" s="145">
        <v>140</v>
      </c>
      <c r="D37" s="1" t="s">
        <v>15</v>
      </c>
      <c r="E37" s="147">
        <v>4</v>
      </c>
      <c r="F37" s="1" t="s">
        <v>30</v>
      </c>
      <c r="G37" s="9">
        <v>5</v>
      </c>
      <c r="H37" s="9">
        <v>80</v>
      </c>
      <c r="I37" s="1"/>
      <c r="J37" s="223"/>
      <c r="K37" s="142"/>
      <c r="L37" s="226">
        <f>+_xlfn.IFNA(IF(VLOOKUP(heroes[[#This Row],[Hero]],'Warehouse - Cards'!$AB$4:$AI$400,7,FALSE)=0,"",VLOOKUP(heroes[[#This Row],[Hero]],'Warehouse - Cards'!$AB$4:$AI$400,7,FALSE)),"")</f>
        <v>6000</v>
      </c>
      <c r="M37" s="226" t="str">
        <f>+_xlfn.IFNA(IF(VLOOKUP(heroes[[#This Row],[Hero]],'Warehouse - Cards'!$AB$4:$AI$400,8,FALSE)=0,"",VLOOKUP(heroes[[#This Row],[Hero]],'Warehouse - Cards'!$AB$4:$AI$400,8,FALSE)),"")</f>
        <v/>
      </c>
      <c r="N37" s="253">
        <f>+_xlfn.IFNA(heroes[[#This Row],[Level]]+VLOOKUP(heroes[[#This Row],[Skill Level]],$A$81:$B$90,2,FALSE),0)</f>
        <v>323</v>
      </c>
      <c r="O37"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7" s="141">
        <f>+_xlfn.IFNA(heroes[[#This Row],[Talent Level]]/INDEX(validation.talent[max],MATCH(heroes[[#This Row],[Talent]],validation.talent[talent],0)),-1)</f>
        <v>0.625</v>
      </c>
      <c r="Q37" s="261" t="str">
        <f>+VLOOKUP(heroes[[#This Row],[Hero]],validation.heroes[],4,FALSE)</f>
        <v>Legendary</v>
      </c>
      <c r="R37" s="143"/>
    </row>
    <row r="38" spans="1:18" ht="15" customHeight="1" x14ac:dyDescent="0.2">
      <c r="A38" s="25" t="s">
        <v>62</v>
      </c>
      <c r="B38"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No-060-94</v>
      </c>
      <c r="C38" s="145">
        <v>140</v>
      </c>
      <c r="D38" s="1" t="s">
        <v>15</v>
      </c>
      <c r="E38" s="147">
        <v>5</v>
      </c>
      <c r="F38" s="1" t="s">
        <v>22</v>
      </c>
      <c r="G38" s="9">
        <v>5</v>
      </c>
      <c r="H38" s="9">
        <v>80</v>
      </c>
      <c r="I38" s="1"/>
      <c r="J38" s="223"/>
      <c r="K38" s="142"/>
      <c r="L38" s="226">
        <f>+_xlfn.IFNA(IF(VLOOKUP(heroes[[#This Row],[Hero]],'Warehouse - Cards'!$AB$4:$AI$400,7,FALSE)=0,"",VLOOKUP(heroes[[#This Row],[Hero]],'Warehouse - Cards'!$AB$4:$AI$400,7,FALSE)),"")</f>
        <v>6000</v>
      </c>
      <c r="M38" s="226" t="str">
        <f>+_xlfn.IFNA(IF(VLOOKUP(heroes[[#This Row],[Hero]],'Warehouse - Cards'!$AB$4:$AI$400,8,FALSE)=0,"",VLOOKUP(heroes[[#This Row],[Hero]],'Warehouse - Cards'!$AB$4:$AI$400,8,FALSE)),"")</f>
        <v/>
      </c>
      <c r="N38" s="253">
        <f>+_xlfn.IFNA(heroes[[#This Row],[Level]]+VLOOKUP(heroes[[#This Row],[Skill Level]],$A$81:$B$90,2,FALSE),0)</f>
        <v>496</v>
      </c>
      <c r="O38"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38" s="141">
        <f>+_xlfn.IFNA(heroes[[#This Row],[Talent Level]]/INDEX(validation.talent[max],MATCH(heroes[[#This Row],[Talent]],validation.talent[talent],0)),-1)</f>
        <v>0.625</v>
      </c>
      <c r="Q38" s="261" t="str">
        <f>+VLOOKUP(heroes[[#This Row],[Hero]],validation.heroes[],4,FALSE)</f>
        <v>Legendary</v>
      </c>
      <c r="R38" s="143"/>
    </row>
    <row r="39" spans="1:18" ht="15" customHeight="1" x14ac:dyDescent="0.2">
      <c r="A39" s="25" t="s">
        <v>35</v>
      </c>
      <c r="B39"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No-060-98</v>
      </c>
      <c r="C39" s="145">
        <v>140</v>
      </c>
      <c r="D39" s="1" t="s">
        <v>15</v>
      </c>
      <c r="E39" s="147">
        <v>3</v>
      </c>
      <c r="F39" s="1" t="s">
        <v>32</v>
      </c>
      <c r="G39" s="9">
        <v>4</v>
      </c>
      <c r="H39" s="9">
        <v>80</v>
      </c>
      <c r="I39" s="1"/>
      <c r="J39" s="223"/>
      <c r="K39" s="142"/>
      <c r="L39" s="226">
        <f>+_xlfn.IFNA(IF(VLOOKUP(heroes[[#This Row],[Hero]],'Warehouse - Cards'!$AB$4:$AI$400,7,FALSE)=0,"",VLOOKUP(heroes[[#This Row],[Hero]],'Warehouse - Cards'!$AB$4:$AI$400,7,FALSE)),"")</f>
        <v>6000</v>
      </c>
      <c r="M39" s="226" t="str">
        <f>+_xlfn.IFNA(IF(VLOOKUP(heroes[[#This Row],[Hero]],'Warehouse - Cards'!$AB$4:$AI$400,8,FALSE)=0,"",VLOOKUP(heroes[[#This Row],[Hero]],'Warehouse - Cards'!$AB$4:$AI$400,8,FALSE)),"")</f>
        <v/>
      </c>
      <c r="N39" s="253">
        <f>+_xlfn.IFNA(heroes[[#This Row],[Level]]+VLOOKUP(heroes[[#This Row],[Skill Level]],$A$81:$B$90,2,FALSE),0)</f>
        <v>230</v>
      </c>
      <c r="O39"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39" s="141">
        <f>+_xlfn.IFNA(heroes[[#This Row],[Talent Level]]/INDEX(validation.talent[max],MATCH(heroes[[#This Row],[Talent]],validation.talent[talent],0)),-1)</f>
        <v>0.5</v>
      </c>
      <c r="Q39" s="261" t="str">
        <f>+VLOOKUP(heroes[[#This Row],[Hero]],validation.heroes[],4,FALSE)</f>
        <v>Legendary</v>
      </c>
      <c r="R39" s="143"/>
    </row>
    <row r="40" spans="1:18" ht="15" customHeight="1" x14ac:dyDescent="0.2">
      <c r="A40" s="25" t="s">
        <v>72</v>
      </c>
      <c r="B40" s="251" t="str">
        <f>+_xlfn.IFNA(INDEX(validation.heroes[Type],MATCH(heroes[[#This Row],[Hero]],validation.heroes[Hero],0)),"4 -")&amp;"                    "&amp;heroes[[#This Row],[Evo?]]&amp;"-"&amp;TEXT(SUM(200-heroes[[#This Row],[Level]]),"000")&amp;"-"&amp;_xlfn.IFNA(SUM(INDEX(validation.heroes[SortKey],MATCH(heroes[[#This Row],[Hero]],validation.heroes[Hero],0))+heroes[[#This Row],[Inscr.]]),"")</f>
        <v>1 - Legend                    No-060-99</v>
      </c>
      <c r="C40" s="145">
        <v>140</v>
      </c>
      <c r="D40" s="1" t="s">
        <v>15</v>
      </c>
      <c r="E40" s="147">
        <v>5</v>
      </c>
      <c r="F40" s="1" t="s">
        <v>52</v>
      </c>
      <c r="G40" s="9">
        <v>5</v>
      </c>
      <c r="H40" s="9">
        <v>80</v>
      </c>
      <c r="I40" s="1"/>
      <c r="J40" s="223"/>
      <c r="K40" s="142"/>
      <c r="L40" s="226">
        <f>+_xlfn.IFNA(IF(VLOOKUP(heroes[[#This Row],[Hero]],'Warehouse - Cards'!$AB$4:$AI$400,7,FALSE)=0,"",VLOOKUP(heroes[[#This Row],[Hero]],'Warehouse - Cards'!$AB$4:$AI$400,7,FALSE)),"")</f>
        <v>6000</v>
      </c>
      <c r="M40" s="226" t="str">
        <f>+_xlfn.IFNA(IF(VLOOKUP(heroes[[#This Row],[Hero]],'Warehouse - Cards'!$AB$4:$AI$400,8,FALSE)=0,"",VLOOKUP(heroes[[#This Row],[Hero]],'Warehouse - Cards'!$AB$4:$AI$400,8,FALSE)),"")</f>
        <v/>
      </c>
      <c r="N40" s="253">
        <f>+_xlfn.IFNA(heroes[[#This Row],[Level]]+VLOOKUP(heroes[[#This Row],[Skill Level]],$A$81:$B$90,2,FALSE),0)</f>
        <v>496</v>
      </c>
      <c r="O40" s="226">
        <f>+IF(heroes[[#This Row],[Tower value]]&lt;50,0,IF(heroes[[#This Row],[Tower value]]&lt;=139,1,IF(heroes[[#This Row],[Tower value]]&lt;=299,2,IF(heroes[[#This Row],[Tower value]]&lt;=649,3,IF(heroes[[#This Row],[Tower value]]&lt;=1199,4,IF(heroes[[#This Row],[Tower value]]&lt;=2199,5,IF(heroes[[#This Row],[Tower value]]&lt;=3799,6,IF(heroes[[#This Row],[Tower value]]&gt;=3800,7))))))))</f>
        <v>3</v>
      </c>
      <c r="P40" s="141">
        <f>+_xlfn.IFNA(heroes[[#This Row],[Talent Level]]/INDEX(validation.talent[max],MATCH(heroes[[#This Row],[Talent]],validation.talent[talent],0)),-1)</f>
        <v>0.625</v>
      </c>
      <c r="Q40" s="261" t="str">
        <f>+VLOOKUP(heroes[[#This Row],[Hero]],validation.heroes[],4,FALSE)</f>
        <v>Legendary</v>
      </c>
      <c r="R40" s="143"/>
    </row>
    <row r="41" spans="1:18" ht="15" customHeight="1" x14ac:dyDescent="0.2">
      <c r="A41" s="25" t="s">
        <v>27</v>
      </c>
      <c r="B41" s="251" t="str">
        <f>+_xlfn.IFNA(INDEX(validation.heroes[Type],MATCH(heroes[[#This Row],[Hero]],validation.heroes[Hero],0)),"4 -")&amp;"                    "&amp;heroes[[#This Row],[Evo?]]&amp;"-"&amp;TEXT(SUM(200-heroes[[#This Row],[Level]]),"000")&amp;"-"&amp;_xlfn.IFNA(SUM(INDEX(validation.heroes[SortKey],MATCH(heroes[[#This Row],[Hero]],validation.heroes[Hero],0))+heroes[[#This Row],[Inscr.]]),"")</f>
        <v>1 - Legend                    No-080-90</v>
      </c>
      <c r="C41" s="145">
        <v>120</v>
      </c>
      <c r="D41" s="1" t="s">
        <v>15</v>
      </c>
      <c r="E41" s="147">
        <v>1</v>
      </c>
      <c r="F41" s="1" t="s">
        <v>13</v>
      </c>
      <c r="G41" s="9">
        <v>5</v>
      </c>
      <c r="H41" s="9">
        <v>60</v>
      </c>
      <c r="I41" s="1"/>
      <c r="J41" s="223"/>
      <c r="K41" s="142"/>
      <c r="L41" s="226">
        <f>+_xlfn.IFNA(IF(VLOOKUP(heroes[[#This Row],[Hero]],'Warehouse - Cards'!$AB$4:$AI$400,7,FALSE)=0,"",VLOOKUP(heroes[[#This Row],[Hero]],'Warehouse - Cards'!$AB$4:$AI$400,7,FALSE)),"")</f>
        <v>6000</v>
      </c>
      <c r="M41" s="226">
        <f>+_xlfn.IFNA(IF(VLOOKUP(heroes[[#This Row],[Hero]],'Warehouse - Cards'!$AB$4:$AI$400,8,FALSE)=0,"",VLOOKUP(heroes[[#This Row],[Hero]],'Warehouse - Cards'!$AB$4:$AI$400,8,FALSE)),"")</f>
        <v>40000</v>
      </c>
      <c r="N41" s="253">
        <f>+_xlfn.IFNA(heroes[[#This Row],[Level]]+VLOOKUP(heroes[[#This Row],[Skill Level]],$A$81:$B$90,2,FALSE),0)</f>
        <v>121</v>
      </c>
      <c r="O41" s="226">
        <f>+IF(heroes[[#This Row],[Tower value]]&lt;50,0,IF(heroes[[#This Row],[Tower value]]&lt;=139,1,IF(heroes[[#This Row],[Tower value]]&lt;=299,2,IF(heroes[[#This Row],[Tower value]]&lt;=649,3,IF(heroes[[#This Row],[Tower value]]&lt;=1199,4,IF(heroes[[#This Row],[Tower value]]&lt;=2199,5,IF(heroes[[#This Row],[Tower value]]&lt;=3799,6,IF(heroes[[#This Row],[Tower value]]&gt;=3800,7))))))))</f>
        <v>1</v>
      </c>
      <c r="P41" s="141">
        <f>+_xlfn.IFNA(heroes[[#This Row],[Talent Level]]/INDEX(validation.talent[max],MATCH(heroes[[#This Row],[Talent]],validation.talent[talent],0)),-1)</f>
        <v>0.625</v>
      </c>
      <c r="Q41" s="261" t="str">
        <f>+VLOOKUP(heroes[[#This Row],[Hero]],validation.heroes[],4,FALSE)</f>
        <v>Legendary</v>
      </c>
      <c r="R41" s="143"/>
    </row>
    <row r="42" spans="1:18" ht="15" customHeight="1" x14ac:dyDescent="0.2">
      <c r="A42" s="25" t="s">
        <v>41</v>
      </c>
      <c r="B42" s="251" t="str">
        <f>+_xlfn.IFNA(INDEX(validation.heroes[Type],MATCH(heroes[[#This Row],[Hero]],validation.heroes[Hero],0)),"4 -")&amp;"                    "&amp;heroes[[#This Row],[Evo?]]&amp;"-"&amp;TEXT(SUM(200-heroes[[#This Row],[Level]]),"000")&amp;"-"&amp;_xlfn.IFNA(SUM(INDEX(validation.heroes[SortKey],MATCH(heroes[[#This Row],[Hero]],validation.heroes[Hero],0))+heroes[[#This Row],[Inscr.]]),"")</f>
        <v>1 - Legend                    No-080-97</v>
      </c>
      <c r="C42" s="145">
        <v>120</v>
      </c>
      <c r="D42" s="1" t="s">
        <v>15</v>
      </c>
      <c r="E42" s="147">
        <v>1</v>
      </c>
      <c r="F42" s="1" t="s">
        <v>18</v>
      </c>
      <c r="G42" s="9">
        <v>5</v>
      </c>
      <c r="H42" s="9">
        <v>60</v>
      </c>
      <c r="I42" s="1"/>
      <c r="J42" s="223"/>
      <c r="K42" s="142"/>
      <c r="L42" s="226">
        <f>+_xlfn.IFNA(IF(VLOOKUP(heroes[[#This Row],[Hero]],'Warehouse - Cards'!$AB$4:$AI$400,7,FALSE)=0,"",VLOOKUP(heroes[[#This Row],[Hero]],'Warehouse - Cards'!$AB$4:$AI$400,7,FALSE)),"")</f>
        <v>6000</v>
      </c>
      <c r="M42" s="226" t="str">
        <f>+_xlfn.IFNA(IF(VLOOKUP(heroes[[#This Row],[Hero]],'Warehouse - Cards'!$AB$4:$AI$400,8,FALSE)=0,"",VLOOKUP(heroes[[#This Row],[Hero]],'Warehouse - Cards'!$AB$4:$AI$400,8,FALSE)),"")</f>
        <v/>
      </c>
      <c r="N42" s="253">
        <f>+_xlfn.IFNA(heroes[[#This Row],[Level]]+VLOOKUP(heroes[[#This Row],[Skill Level]],$A$81:$B$90,2,FALSE),0)</f>
        <v>121</v>
      </c>
      <c r="O42" s="226">
        <f>+IF(heroes[[#This Row],[Tower value]]&lt;50,0,IF(heroes[[#This Row],[Tower value]]&lt;=139,1,IF(heroes[[#This Row],[Tower value]]&lt;=299,2,IF(heroes[[#This Row],[Tower value]]&lt;=649,3,IF(heroes[[#This Row],[Tower value]]&lt;=1199,4,IF(heroes[[#This Row],[Tower value]]&lt;=2199,5,IF(heroes[[#This Row],[Tower value]]&lt;=3799,6,IF(heroes[[#This Row],[Tower value]]&gt;=3800,7))))))))</f>
        <v>1</v>
      </c>
      <c r="P42" s="141">
        <f>+_xlfn.IFNA(heroes[[#This Row],[Talent Level]]/INDEX(validation.talent[max],MATCH(heroes[[#This Row],[Talent]],validation.talent[talent],0)),-1)</f>
        <v>1</v>
      </c>
      <c r="Q42" s="261" t="str">
        <f>+VLOOKUP(heroes[[#This Row],[Hero]],validation.heroes[],4,FALSE)</f>
        <v>Legendary</v>
      </c>
      <c r="R42" s="143"/>
    </row>
    <row r="43" spans="1:18" ht="15" customHeight="1" x14ac:dyDescent="0.2">
      <c r="A43" s="25" t="s">
        <v>61</v>
      </c>
      <c r="B43" s="251" t="str">
        <f>+_xlfn.IFNA(INDEX(validation.heroes[Type],MATCH(heroes[[#This Row],[Hero]],validation.heroes[Hero],0)),"4 -")&amp;"                    "&amp;heroes[[#This Row],[Evo?]]&amp;"-"&amp;TEXT(SUM(200-heroes[[#This Row],[Level]]),"000")&amp;"-"&amp;_xlfn.IFNA(SUM(INDEX(validation.heroes[SortKey],MATCH(heroes[[#This Row],[Hero]],validation.heroes[Hero],0))+heroes[[#This Row],[Inscr.]]),"")</f>
        <v>2 - Elite                    No-040-88</v>
      </c>
      <c r="C43" s="145">
        <v>160</v>
      </c>
      <c r="D43" s="1" t="s">
        <v>15</v>
      </c>
      <c r="E43" s="147">
        <v>7</v>
      </c>
      <c r="F43" s="1" t="s">
        <v>46</v>
      </c>
      <c r="G43" s="9">
        <v>5</v>
      </c>
      <c r="H43" s="9">
        <v>80</v>
      </c>
      <c r="I43" s="1"/>
      <c r="J43" s="223"/>
      <c r="K43" s="142"/>
      <c r="L43" s="226" t="str">
        <f>+_xlfn.IFNA(IF(VLOOKUP(heroes[[#This Row],[Hero]],'Warehouse - Cards'!$AB$4:$AI$400,7,FALSE)=0,"",VLOOKUP(heroes[[#This Row],[Hero]],'Warehouse - Cards'!$AB$4:$AI$400,7,FALSE)),"")</f>
        <v/>
      </c>
      <c r="M43" s="226" t="str">
        <f>+_xlfn.IFNA(IF(VLOOKUP(heroes[[#This Row],[Hero]],'Warehouse - Cards'!$AB$4:$AI$400,8,FALSE)=0,"",VLOOKUP(heroes[[#This Row],[Hero]],'Warehouse - Cards'!$AB$4:$AI$400,8,FALSE)),"")</f>
        <v/>
      </c>
      <c r="N43" s="253">
        <f>+_xlfn.IFNA(heroes[[#This Row],[Level]]+VLOOKUP(heroes[[#This Row],[Skill Level]],$A$81:$B$90,2,FALSE),0)</f>
        <v>1220</v>
      </c>
      <c r="O43"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43" s="141">
        <f>+_xlfn.IFNA(heroes[[#This Row],[Talent Level]]/INDEX(validation.talent[max],MATCH(heroes[[#This Row],[Talent]],validation.talent[talent],0)),-1)</f>
        <v>0.625</v>
      </c>
      <c r="Q43" s="261" t="str">
        <f>+VLOOKUP(heroes[[#This Row],[Hero]],validation.heroes[],4,FALSE)</f>
        <v>Elite</v>
      </c>
      <c r="R43" s="143"/>
    </row>
    <row r="44" spans="1:18" ht="15" customHeight="1" x14ac:dyDescent="0.2">
      <c r="A44" s="25" t="s">
        <v>21</v>
      </c>
      <c r="B44"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No-080-42</v>
      </c>
      <c r="C44" s="145">
        <v>120</v>
      </c>
      <c r="D44" s="1" t="s">
        <v>15</v>
      </c>
      <c r="E44" s="147">
        <v>2</v>
      </c>
      <c r="F44" s="1" t="s">
        <v>8</v>
      </c>
      <c r="G44" s="9">
        <v>4</v>
      </c>
      <c r="H44" s="9">
        <v>40</v>
      </c>
      <c r="I44" s="1"/>
      <c r="J44" s="223"/>
      <c r="K44" s="142"/>
      <c r="L44" s="226" t="str">
        <f>+_xlfn.IFNA(IF(VLOOKUP(heroes[[#This Row],[Hero]],'Warehouse - Cards'!$AB$4:$AI$400,7,FALSE)=0,"",VLOOKUP(heroes[[#This Row],[Hero]],'Warehouse - Cards'!$AB$4:$AI$400,7,FALSE)),"")</f>
        <v/>
      </c>
      <c r="M44" s="226" t="str">
        <f>+_xlfn.IFNA(IF(VLOOKUP(heroes[[#This Row],[Hero]],'Warehouse - Cards'!$AB$4:$AI$400,8,FALSE)=0,"",VLOOKUP(heroes[[#This Row],[Hero]],'Warehouse - Cards'!$AB$4:$AI$400,8,FALSE)),"")</f>
        <v/>
      </c>
      <c r="N44" s="253">
        <f>+_xlfn.IFNA(heroes[[#This Row],[Level]]+VLOOKUP(heroes[[#This Row],[Skill Level]],$A$81:$B$90,2,FALSE),0)</f>
        <v>156</v>
      </c>
      <c r="O44"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44" s="141">
        <f>+_xlfn.IFNA(heroes[[#This Row],[Talent Level]]/INDEX(validation.talent[max],MATCH(heroes[[#This Row],[Talent]],validation.talent[talent],0)),-1)</f>
        <v>0.5</v>
      </c>
      <c r="Q44" s="261" t="str">
        <f>+VLOOKUP(heroes[[#This Row],[Hero]],validation.heroes[],4,FALSE)</f>
        <v>Elite</v>
      </c>
      <c r="R44" s="143"/>
    </row>
    <row r="45" spans="1:18" ht="15" customHeight="1" x14ac:dyDescent="0.2">
      <c r="A45" s="25" t="s">
        <v>33</v>
      </c>
      <c r="B45"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No-080-44</v>
      </c>
      <c r="C45" s="145">
        <v>120</v>
      </c>
      <c r="D45" s="1" t="s">
        <v>15</v>
      </c>
      <c r="E45" s="147">
        <v>1</v>
      </c>
      <c r="F45" s="1" t="s">
        <v>36</v>
      </c>
      <c r="G45" s="9">
        <v>5</v>
      </c>
      <c r="H45" s="9">
        <v>40</v>
      </c>
      <c r="I45" s="1"/>
      <c r="J45" s="223"/>
      <c r="K45" s="142"/>
      <c r="L45" s="226" t="str">
        <f>+_xlfn.IFNA(IF(VLOOKUP(heroes[[#This Row],[Hero]],'Warehouse - Cards'!$AB$4:$AI$400,7,FALSE)=0,"",VLOOKUP(heroes[[#This Row],[Hero]],'Warehouse - Cards'!$AB$4:$AI$400,7,FALSE)),"")</f>
        <v/>
      </c>
      <c r="M45" s="226" t="str">
        <f>+_xlfn.IFNA(IF(VLOOKUP(heroes[[#This Row],[Hero]],'Warehouse - Cards'!$AB$4:$AI$400,8,FALSE)=0,"",VLOOKUP(heroes[[#This Row],[Hero]],'Warehouse - Cards'!$AB$4:$AI$400,8,FALSE)),"")</f>
        <v/>
      </c>
      <c r="N45" s="253">
        <f>+_xlfn.IFNA(heroes[[#This Row],[Level]]+VLOOKUP(heroes[[#This Row],[Skill Level]],$A$81:$B$90,2,FALSE),0)</f>
        <v>121</v>
      </c>
      <c r="O45" s="226">
        <f>+IF(heroes[[#This Row],[Tower value]]&lt;50,0,IF(heroes[[#This Row],[Tower value]]&lt;=139,1,IF(heroes[[#This Row],[Tower value]]&lt;=299,2,IF(heroes[[#This Row],[Tower value]]&lt;=649,3,IF(heroes[[#This Row],[Tower value]]&lt;=1199,4,IF(heroes[[#This Row],[Tower value]]&lt;=2199,5,IF(heroes[[#This Row],[Tower value]]&lt;=3799,6,IF(heroes[[#This Row],[Tower value]]&gt;=3800,7))))))))</f>
        <v>1</v>
      </c>
      <c r="P45" s="141">
        <f>+_xlfn.IFNA(heroes[[#This Row],[Talent Level]]/INDEX(validation.talent[max],MATCH(heroes[[#This Row],[Talent]],validation.talent[talent],0)),-1)</f>
        <v>1</v>
      </c>
      <c r="Q45" s="261" t="str">
        <f>+VLOOKUP(heroes[[#This Row],[Hero]],validation.heroes[],4,FALSE)</f>
        <v>Elite</v>
      </c>
      <c r="R45" s="143"/>
    </row>
    <row r="46" spans="1:18" ht="15" customHeight="1" x14ac:dyDescent="0.2">
      <c r="A46" s="25" t="s">
        <v>73</v>
      </c>
      <c r="B46"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No-080-45</v>
      </c>
      <c r="C46" s="145">
        <v>120</v>
      </c>
      <c r="D46" s="1" t="s">
        <v>15</v>
      </c>
      <c r="E46" s="147">
        <v>1</v>
      </c>
      <c r="F46" s="1" t="s">
        <v>46</v>
      </c>
      <c r="G46" s="9">
        <v>1</v>
      </c>
      <c r="H46" s="9">
        <v>40</v>
      </c>
      <c r="I46" s="1"/>
      <c r="J46" s="223"/>
      <c r="K46" s="142"/>
      <c r="L46" s="226" t="str">
        <f>+_xlfn.IFNA(IF(VLOOKUP(heroes[[#This Row],[Hero]],'Warehouse - Cards'!$AB$4:$AI$400,7,FALSE)=0,"",VLOOKUP(heroes[[#This Row],[Hero]],'Warehouse - Cards'!$AB$4:$AI$400,7,FALSE)),"")</f>
        <v/>
      </c>
      <c r="M46" s="226" t="str">
        <f>+_xlfn.IFNA(IF(VLOOKUP(heroes[[#This Row],[Hero]],'Warehouse - Cards'!$AB$4:$AI$400,8,FALSE)=0,"",VLOOKUP(heroes[[#This Row],[Hero]],'Warehouse - Cards'!$AB$4:$AI$400,8,FALSE)),"")</f>
        <v/>
      </c>
      <c r="N46" s="253">
        <f>+_xlfn.IFNA(heroes[[#This Row],[Level]]+VLOOKUP(heroes[[#This Row],[Skill Level]],$A$81:$B$90,2,FALSE),0)</f>
        <v>121</v>
      </c>
      <c r="O46" s="226">
        <f>+IF(heroes[[#This Row],[Tower value]]&lt;50,0,IF(heroes[[#This Row],[Tower value]]&lt;=139,1,IF(heroes[[#This Row],[Tower value]]&lt;=299,2,IF(heroes[[#This Row],[Tower value]]&lt;=649,3,IF(heroes[[#This Row],[Tower value]]&lt;=1199,4,IF(heroes[[#This Row],[Tower value]]&lt;=2199,5,IF(heroes[[#This Row],[Tower value]]&lt;=3799,6,IF(heroes[[#This Row],[Tower value]]&gt;=3800,7))))))))</f>
        <v>1</v>
      </c>
      <c r="P46" s="141">
        <f>+_xlfn.IFNA(heroes[[#This Row],[Talent Level]]/INDEX(validation.talent[max],MATCH(heroes[[#This Row],[Talent]],validation.talent[talent],0)),-1)</f>
        <v>0.125</v>
      </c>
      <c r="Q46" s="261" t="str">
        <f>+VLOOKUP(heroes[[#This Row],[Hero]],validation.heroes[],4,FALSE)</f>
        <v>Elite</v>
      </c>
      <c r="R46" s="143"/>
    </row>
    <row r="47" spans="1:18" ht="15" customHeight="1" x14ac:dyDescent="0.2">
      <c r="A47" s="25" t="s">
        <v>51</v>
      </c>
      <c r="B47"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No-080-61</v>
      </c>
      <c r="C47" s="145">
        <v>120</v>
      </c>
      <c r="D47" s="1" t="s">
        <v>15</v>
      </c>
      <c r="E47" s="147">
        <v>6</v>
      </c>
      <c r="F47" s="1" t="s">
        <v>36</v>
      </c>
      <c r="G47" s="9">
        <v>5</v>
      </c>
      <c r="H47" s="9">
        <v>60</v>
      </c>
      <c r="I47" s="1" t="s">
        <v>22</v>
      </c>
      <c r="J47" s="223">
        <v>3</v>
      </c>
      <c r="K47" s="142"/>
      <c r="L47" s="226" t="str">
        <f>+_xlfn.IFNA(IF(VLOOKUP(heroes[[#This Row],[Hero]],'Warehouse - Cards'!$AB$4:$AI$400,7,FALSE)=0,"",VLOOKUP(heroes[[#This Row],[Hero]],'Warehouse - Cards'!$AB$4:$AI$400,7,FALSE)),"")</f>
        <v/>
      </c>
      <c r="M47" s="226" t="str">
        <f>+_xlfn.IFNA(IF(VLOOKUP(heroes[[#This Row],[Hero]],'Warehouse - Cards'!$AB$4:$AI$400,8,FALSE)=0,"",VLOOKUP(heroes[[#This Row],[Hero]],'Warehouse - Cards'!$AB$4:$AI$400,8,FALSE)),"")</f>
        <v/>
      </c>
      <c r="N47" s="253">
        <f>+_xlfn.IFNA(heroes[[#This Row],[Level]]+VLOOKUP(heroes[[#This Row],[Skill Level]],$A$81:$B$90,2,FALSE),0)</f>
        <v>749</v>
      </c>
      <c r="O47"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47" s="141">
        <f>+_xlfn.IFNA(heroes[[#This Row],[Talent Level]]/INDEX(validation.talent[max],MATCH(heroes[[#This Row],[Talent]],validation.talent[talent],0)),-1)</f>
        <v>1</v>
      </c>
      <c r="Q47" s="261" t="str">
        <f>+VLOOKUP(heroes[[#This Row],[Hero]],validation.heroes[],4,FALSE)</f>
        <v>Elite</v>
      </c>
      <c r="R47" s="143"/>
    </row>
    <row r="48" spans="1:18" ht="15" customHeight="1" x14ac:dyDescent="0.2">
      <c r="A48" s="25" t="s">
        <v>94</v>
      </c>
      <c r="B48"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No-080-63</v>
      </c>
      <c r="C48" s="145">
        <v>120</v>
      </c>
      <c r="D48" s="1" t="s">
        <v>15</v>
      </c>
      <c r="E48" s="147">
        <v>6</v>
      </c>
      <c r="F48" s="1" t="s">
        <v>8</v>
      </c>
      <c r="G48" s="9">
        <v>5</v>
      </c>
      <c r="H48" s="9">
        <v>60</v>
      </c>
      <c r="I48" s="1"/>
      <c r="J48" s="223"/>
      <c r="K48" s="142"/>
      <c r="L48" s="226" t="str">
        <f>+_xlfn.IFNA(IF(VLOOKUP(heroes[[#This Row],[Hero]],'Warehouse - Cards'!$AB$4:$AI$400,7,FALSE)=0,"",VLOOKUP(heroes[[#This Row],[Hero]],'Warehouse - Cards'!$AB$4:$AI$400,7,FALSE)),"")</f>
        <v/>
      </c>
      <c r="M48" s="226" t="str">
        <f>+_xlfn.IFNA(IF(VLOOKUP(heroes[[#This Row],[Hero]],'Warehouse - Cards'!$AB$4:$AI$400,8,FALSE)=0,"",VLOOKUP(heroes[[#This Row],[Hero]],'Warehouse - Cards'!$AB$4:$AI$400,8,FALSE)),"")</f>
        <v/>
      </c>
      <c r="N48" s="253">
        <f>+_xlfn.IFNA(heroes[[#This Row],[Level]]+VLOOKUP(heroes[[#This Row],[Skill Level]],$A$81:$B$90,2,FALSE),0)</f>
        <v>749</v>
      </c>
      <c r="O48"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48" s="141">
        <f>+_xlfn.IFNA(heroes[[#This Row],[Talent Level]]/INDEX(validation.talent[max],MATCH(heroes[[#This Row],[Talent]],validation.talent[talent],0)),-1)</f>
        <v>0.625</v>
      </c>
      <c r="Q48" s="261" t="str">
        <f>+VLOOKUP(heroes[[#This Row],[Hero]],validation.heroes[],4,FALSE)</f>
        <v>Elite</v>
      </c>
      <c r="R48" s="143"/>
    </row>
    <row r="49" spans="1:18" ht="15" customHeight="1" x14ac:dyDescent="0.2">
      <c r="A49" s="25" t="s">
        <v>81</v>
      </c>
      <c r="B49"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No-080-66</v>
      </c>
      <c r="C49" s="145">
        <v>120</v>
      </c>
      <c r="D49" s="1" t="s">
        <v>15</v>
      </c>
      <c r="E49" s="147">
        <v>7</v>
      </c>
      <c r="F49" s="1" t="s">
        <v>18</v>
      </c>
      <c r="G49" s="9">
        <v>5</v>
      </c>
      <c r="H49" s="9">
        <v>60</v>
      </c>
      <c r="I49" s="1" t="s">
        <v>52</v>
      </c>
      <c r="J49" s="223">
        <v>3</v>
      </c>
      <c r="K49" s="142"/>
      <c r="L49" s="226" t="str">
        <f>+_xlfn.IFNA(IF(VLOOKUP(heroes[[#This Row],[Hero]],'Warehouse - Cards'!$AB$4:$AI$400,7,FALSE)=0,"",VLOOKUP(heroes[[#This Row],[Hero]],'Warehouse - Cards'!$AB$4:$AI$400,7,FALSE)),"")</f>
        <v/>
      </c>
      <c r="M49" s="226" t="str">
        <f>+_xlfn.IFNA(IF(VLOOKUP(heroes[[#This Row],[Hero]],'Warehouse - Cards'!$AB$4:$AI$400,8,FALSE)=0,"",VLOOKUP(heroes[[#This Row],[Hero]],'Warehouse - Cards'!$AB$4:$AI$400,8,FALSE)),"")</f>
        <v/>
      </c>
      <c r="N49" s="253">
        <f>+_xlfn.IFNA(heroes[[#This Row],[Level]]+VLOOKUP(heroes[[#This Row],[Skill Level]],$A$81:$B$90,2,FALSE),0)</f>
        <v>1180</v>
      </c>
      <c r="O49"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49" s="141">
        <f>+_xlfn.IFNA(heroes[[#This Row],[Talent Level]]/INDEX(validation.talent[max],MATCH(heroes[[#This Row],[Talent]],validation.talent[talent],0)),-1)</f>
        <v>1</v>
      </c>
      <c r="Q49" s="261" t="str">
        <f>+VLOOKUP(heroes[[#This Row],[Hero]],validation.heroes[],4,FALSE)</f>
        <v>Elite</v>
      </c>
      <c r="R49" s="143"/>
    </row>
    <row r="50" spans="1:18" ht="15" customHeight="1" x14ac:dyDescent="0.2">
      <c r="A50" s="25" t="s">
        <v>80</v>
      </c>
      <c r="B50" s="251" t="str">
        <f>+_xlfn.IFNA(INDEX(validation.heroes[Type],MATCH(heroes[[#This Row],[Hero]],validation.heroes[Hero],0)),"4 -")&amp;"                    "&amp;heroes[[#This Row],[Evo?]]&amp;"-"&amp;TEXT(SUM(200-heroes[[#This Row],[Level]]),"000")&amp;"-"&amp;_xlfn.IFNA(SUM(INDEX(validation.heroes[SortKey],MATCH(heroes[[#This Row],[Hero]],validation.heroes[Hero],0))+heroes[[#This Row],[Inscr.]]),"")</f>
        <v>2 - Elite                    No-080-67</v>
      </c>
      <c r="C50" s="145">
        <v>120</v>
      </c>
      <c r="D50" s="1" t="s">
        <v>15</v>
      </c>
      <c r="E50" s="147">
        <v>7</v>
      </c>
      <c r="F50" s="1" t="s">
        <v>20</v>
      </c>
      <c r="G50" s="9">
        <v>5</v>
      </c>
      <c r="H50" s="9">
        <v>60</v>
      </c>
      <c r="I50" s="1"/>
      <c r="J50" s="223"/>
      <c r="K50" s="142"/>
      <c r="L50" s="226" t="str">
        <f>+_xlfn.IFNA(IF(VLOOKUP(heroes[[#This Row],[Hero]],'Warehouse - Cards'!$AB$4:$AI$400,7,FALSE)=0,"",VLOOKUP(heroes[[#This Row],[Hero]],'Warehouse - Cards'!$AB$4:$AI$400,7,FALSE)),"")</f>
        <v/>
      </c>
      <c r="M50" s="226" t="str">
        <f>+_xlfn.IFNA(IF(VLOOKUP(heroes[[#This Row],[Hero]],'Warehouse - Cards'!$AB$4:$AI$400,8,FALSE)=0,"",VLOOKUP(heroes[[#This Row],[Hero]],'Warehouse - Cards'!$AB$4:$AI$400,8,FALSE)),"")</f>
        <v/>
      </c>
      <c r="N50" s="253">
        <f>+_xlfn.IFNA(heroes[[#This Row],[Level]]+VLOOKUP(heroes[[#This Row],[Skill Level]],$A$81:$B$90,2,FALSE),0)</f>
        <v>1180</v>
      </c>
      <c r="O50"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0" s="141">
        <f>+_xlfn.IFNA(heroes[[#This Row],[Talent Level]]/INDEX(validation.talent[max],MATCH(heroes[[#This Row],[Talent]],validation.talent[talent],0)),-1)</f>
        <v>1</v>
      </c>
      <c r="Q50" s="261" t="str">
        <f>+VLOOKUP(heroes[[#This Row],[Hero]],validation.heroes[],4,FALSE)</f>
        <v>Elite</v>
      </c>
      <c r="R50" s="143"/>
    </row>
    <row r="51" spans="1:18" ht="15" customHeight="1" x14ac:dyDescent="0.2">
      <c r="A51" s="25" t="s">
        <v>89</v>
      </c>
      <c r="B51" s="251" t="str">
        <f>+_xlfn.IFNA(INDEX(validation.heroes[Type],MATCH(heroes[[#This Row],[Hero]],validation.heroes[Hero],0)),"4 -")&amp;"                    "&amp;heroes[[#This Row],[Evo?]]&amp;"-"&amp;TEXT(SUM(200-heroes[[#This Row],[Level]]),"000")&amp;"-"&amp;_xlfn.IFNA(SUM(INDEX(validation.heroes[SortKey],MATCH(heroes[[#This Row],[Hero]],validation.heroes[Hero],0))+heroes[[#This Row],[Inscr.]]),"")</f>
        <v>2 - Elite                    No-060-69</v>
      </c>
      <c r="C51" s="145">
        <v>140</v>
      </c>
      <c r="D51" s="1" t="s">
        <v>15</v>
      </c>
      <c r="E51" s="147">
        <v>7</v>
      </c>
      <c r="F51" s="1" t="s">
        <v>54</v>
      </c>
      <c r="G51" s="9">
        <v>5</v>
      </c>
      <c r="H51" s="9">
        <v>60</v>
      </c>
      <c r="I51" s="1" t="s">
        <v>30</v>
      </c>
      <c r="J51" s="223">
        <v>3</v>
      </c>
      <c r="K51" s="142"/>
      <c r="L51" s="226" t="str">
        <f>+_xlfn.IFNA(IF(VLOOKUP(heroes[[#This Row],[Hero]],'Warehouse - Cards'!$AB$4:$AI$400,7,FALSE)=0,"",VLOOKUP(heroes[[#This Row],[Hero]],'Warehouse - Cards'!$AB$4:$AI$400,7,FALSE)),"")</f>
        <v/>
      </c>
      <c r="M51" s="226" t="str">
        <f>+_xlfn.IFNA(IF(VLOOKUP(heroes[[#This Row],[Hero]],'Warehouse - Cards'!$AB$4:$AI$400,8,FALSE)=0,"",VLOOKUP(heroes[[#This Row],[Hero]],'Warehouse - Cards'!$AB$4:$AI$400,8,FALSE)),"")</f>
        <v/>
      </c>
      <c r="N51" s="253">
        <f>+_xlfn.IFNA(heroes[[#This Row],[Level]]+VLOOKUP(heroes[[#This Row],[Skill Level]],$A$81:$B$90,2,FALSE),0)</f>
        <v>1200</v>
      </c>
      <c r="O51" s="226">
        <f>+IF(heroes[[#This Row],[Tower value]]&lt;50,0,IF(heroes[[#This Row],[Tower value]]&lt;=139,1,IF(heroes[[#This Row],[Tower value]]&lt;=299,2,IF(heroes[[#This Row],[Tower value]]&lt;=649,3,IF(heroes[[#This Row],[Tower value]]&lt;=1199,4,IF(heroes[[#This Row],[Tower value]]&lt;=2199,5,IF(heroes[[#This Row],[Tower value]]&lt;=3799,6,IF(heroes[[#This Row],[Tower value]]&gt;=3800,7))))))))</f>
        <v>5</v>
      </c>
      <c r="P51" s="141">
        <f>+_xlfn.IFNA(heroes[[#This Row],[Talent Level]]/INDEX(validation.talent[max],MATCH(heroes[[#This Row],[Talent]],validation.talent[talent],0)),-1)</f>
        <v>0.625</v>
      </c>
      <c r="Q51" s="261" t="str">
        <f>+VLOOKUP(heroes[[#This Row],[Hero]],validation.heroes[],4,FALSE)</f>
        <v>Elite</v>
      </c>
      <c r="R51" s="143"/>
    </row>
    <row r="52" spans="1:18" ht="15" customHeight="1" x14ac:dyDescent="0.2">
      <c r="A52" s="25" t="s">
        <v>53</v>
      </c>
      <c r="B52"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No-060-85</v>
      </c>
      <c r="C52" s="145">
        <v>140</v>
      </c>
      <c r="D52" s="1" t="s">
        <v>15</v>
      </c>
      <c r="E52" s="147">
        <v>6</v>
      </c>
      <c r="F52" s="1" t="s">
        <v>36</v>
      </c>
      <c r="G52" s="9">
        <v>5</v>
      </c>
      <c r="H52" s="9">
        <v>80</v>
      </c>
      <c r="I52" s="1"/>
      <c r="J52" s="223"/>
      <c r="K52" s="142"/>
      <c r="L52" s="226" t="str">
        <f>+_xlfn.IFNA(IF(VLOOKUP(heroes[[#This Row],[Hero]],'Warehouse - Cards'!$AB$4:$AI$400,7,FALSE)=0,"",VLOOKUP(heroes[[#This Row],[Hero]],'Warehouse - Cards'!$AB$4:$AI$400,7,FALSE)),"")</f>
        <v/>
      </c>
      <c r="M52" s="226" t="str">
        <f>+_xlfn.IFNA(IF(VLOOKUP(heroes[[#This Row],[Hero]],'Warehouse - Cards'!$AB$4:$AI$400,8,FALSE)=0,"",VLOOKUP(heroes[[#This Row],[Hero]],'Warehouse - Cards'!$AB$4:$AI$400,8,FALSE)),"")</f>
        <v/>
      </c>
      <c r="N52" s="253">
        <f>+_xlfn.IFNA(heroes[[#This Row],[Level]]+VLOOKUP(heroes[[#This Row],[Skill Level]],$A$81:$B$90,2,FALSE),0)</f>
        <v>769</v>
      </c>
      <c r="O52"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2" s="141">
        <f>+_xlfn.IFNA(heroes[[#This Row],[Talent Level]]/INDEX(validation.talent[max],MATCH(heroes[[#This Row],[Talent]],validation.talent[talent],0)),-1)</f>
        <v>1</v>
      </c>
      <c r="Q52" s="261" t="str">
        <f>+VLOOKUP(heroes[[#This Row],[Hero]],validation.heroes[],4,FALSE)</f>
        <v>Ordinary</v>
      </c>
      <c r="R52" s="143"/>
    </row>
    <row r="53" spans="1:18" ht="15" customHeight="1" x14ac:dyDescent="0.2">
      <c r="A53" s="25" t="s">
        <v>66</v>
      </c>
      <c r="B53"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No-080-42</v>
      </c>
      <c r="C53" s="145">
        <v>120</v>
      </c>
      <c r="D53" s="1" t="s">
        <v>15</v>
      </c>
      <c r="E53" s="147">
        <v>2</v>
      </c>
      <c r="F53" s="1" t="s">
        <v>32</v>
      </c>
      <c r="G53" s="9">
        <v>5</v>
      </c>
      <c r="H53" s="9">
        <v>40</v>
      </c>
      <c r="I53" s="1"/>
      <c r="J53" s="223"/>
      <c r="K53" s="142"/>
      <c r="L53" s="226" t="str">
        <f>+_xlfn.IFNA(IF(VLOOKUP(heroes[[#This Row],[Hero]],'Warehouse - Cards'!$AB$4:$AI$400,7,FALSE)=0,"",VLOOKUP(heroes[[#This Row],[Hero]],'Warehouse - Cards'!$AB$4:$AI$400,7,FALSE)),"")</f>
        <v/>
      </c>
      <c r="M53" s="226" t="str">
        <f>+_xlfn.IFNA(IF(VLOOKUP(heroes[[#This Row],[Hero]],'Warehouse - Cards'!$AB$4:$AI$400,8,FALSE)=0,"",VLOOKUP(heroes[[#This Row],[Hero]],'Warehouse - Cards'!$AB$4:$AI$400,8,FALSE)),"")</f>
        <v/>
      </c>
      <c r="N53" s="253">
        <f>+_xlfn.IFNA(heroes[[#This Row],[Level]]+VLOOKUP(heroes[[#This Row],[Skill Level]],$A$81:$B$90,2,FALSE),0)</f>
        <v>156</v>
      </c>
      <c r="O53"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53" s="141">
        <f>+_xlfn.IFNA(heroes[[#This Row],[Talent Level]]/INDEX(validation.talent[max],MATCH(heroes[[#This Row],[Talent]],validation.talent[talent],0)),-1)</f>
        <v>0.625</v>
      </c>
      <c r="Q53" s="261" t="str">
        <f>+VLOOKUP(heroes[[#This Row],[Hero]],validation.heroes[],4,FALSE)</f>
        <v>Ordinary</v>
      </c>
      <c r="R53" s="143"/>
    </row>
    <row r="54" spans="1:18" ht="15" customHeight="1" x14ac:dyDescent="0.2">
      <c r="A54" s="25" t="s">
        <v>14</v>
      </c>
      <c r="B54"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No-080-61</v>
      </c>
      <c r="C54" s="145">
        <v>120</v>
      </c>
      <c r="D54" s="1" t="s">
        <v>15</v>
      </c>
      <c r="E54" s="147">
        <v>6</v>
      </c>
      <c r="F54" s="1" t="s">
        <v>8</v>
      </c>
      <c r="G54" s="9">
        <v>5</v>
      </c>
      <c r="H54" s="9">
        <v>60</v>
      </c>
      <c r="I54" s="1"/>
      <c r="J54" s="223"/>
      <c r="K54" s="142"/>
      <c r="L54" s="226" t="str">
        <f>+_xlfn.IFNA(IF(VLOOKUP(heroes[[#This Row],[Hero]],'Warehouse - Cards'!$AB$4:$AI$400,7,FALSE)=0,"",VLOOKUP(heroes[[#This Row],[Hero]],'Warehouse - Cards'!$AB$4:$AI$400,7,FALSE)),"")</f>
        <v/>
      </c>
      <c r="M54" s="226" t="str">
        <f>+_xlfn.IFNA(IF(VLOOKUP(heroes[[#This Row],[Hero]],'Warehouse - Cards'!$AB$4:$AI$400,8,FALSE)=0,"",VLOOKUP(heroes[[#This Row],[Hero]],'Warehouse - Cards'!$AB$4:$AI$400,8,FALSE)),"")</f>
        <v/>
      </c>
      <c r="N54" s="253">
        <f>+_xlfn.IFNA(heroes[[#This Row],[Level]]+VLOOKUP(heroes[[#This Row],[Skill Level]],$A$81:$B$90,2,FALSE),0)</f>
        <v>749</v>
      </c>
      <c r="O54"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4" s="141">
        <f>+_xlfn.IFNA(heroes[[#This Row],[Talent Level]]/INDEX(validation.talent[max],MATCH(heroes[[#This Row],[Talent]],validation.talent[talent],0)),-1)</f>
        <v>0.625</v>
      </c>
      <c r="Q54" s="261" t="str">
        <f>+VLOOKUP(heroes[[#This Row],[Hero]],validation.heroes[],4,FALSE)</f>
        <v>Ordinary</v>
      </c>
      <c r="R54" s="143"/>
    </row>
    <row r="55" spans="1:18" ht="15" customHeight="1" x14ac:dyDescent="0.2">
      <c r="A55" s="25" t="s">
        <v>60</v>
      </c>
      <c r="B55"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No-080-63</v>
      </c>
      <c r="C55" s="145">
        <v>120</v>
      </c>
      <c r="D55" s="1" t="s">
        <v>15</v>
      </c>
      <c r="E55" s="147">
        <v>6</v>
      </c>
      <c r="F55" s="1" t="s">
        <v>16</v>
      </c>
      <c r="G55" s="9">
        <v>5</v>
      </c>
      <c r="H55" s="9">
        <v>60</v>
      </c>
      <c r="I55" s="1" t="s">
        <v>50</v>
      </c>
      <c r="J55" s="223">
        <v>2</v>
      </c>
      <c r="K55" s="142"/>
      <c r="L55" s="226" t="str">
        <f>+_xlfn.IFNA(IF(VLOOKUP(heroes[[#This Row],[Hero]],'Warehouse - Cards'!$AB$4:$AI$400,7,FALSE)=0,"",VLOOKUP(heroes[[#This Row],[Hero]],'Warehouse - Cards'!$AB$4:$AI$400,7,FALSE)),"")</f>
        <v/>
      </c>
      <c r="M55" s="226" t="str">
        <f>+_xlfn.IFNA(IF(VLOOKUP(heroes[[#This Row],[Hero]],'Warehouse - Cards'!$AB$4:$AI$400,8,FALSE)=0,"",VLOOKUP(heroes[[#This Row],[Hero]],'Warehouse - Cards'!$AB$4:$AI$400,8,FALSE)),"")</f>
        <v/>
      </c>
      <c r="N55" s="253">
        <f>+_xlfn.IFNA(heroes[[#This Row],[Level]]+VLOOKUP(heroes[[#This Row],[Skill Level]],$A$81:$B$90,2,FALSE),0)</f>
        <v>749</v>
      </c>
      <c r="O55"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5" s="141">
        <f>+_xlfn.IFNA(heroes[[#This Row],[Talent Level]]/INDEX(validation.talent[max],MATCH(heroes[[#This Row],[Talent]],validation.talent[talent],0)),-1)</f>
        <v>0.625</v>
      </c>
      <c r="Q55" s="261" t="str">
        <f>+VLOOKUP(heroes[[#This Row],[Hero]],validation.heroes[],4,FALSE)</f>
        <v>Ordinary</v>
      </c>
      <c r="R55" s="143"/>
    </row>
    <row r="56" spans="1:18" ht="15" customHeight="1" x14ac:dyDescent="0.2">
      <c r="A56" s="25" t="s">
        <v>49</v>
      </c>
      <c r="B56"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No-080-64</v>
      </c>
      <c r="C56" s="145">
        <v>120</v>
      </c>
      <c r="D56" s="1" t="s">
        <v>15</v>
      </c>
      <c r="E56" s="147">
        <v>6</v>
      </c>
      <c r="F56" s="1" t="s">
        <v>28</v>
      </c>
      <c r="G56" s="9">
        <v>5</v>
      </c>
      <c r="H56" s="9">
        <v>60</v>
      </c>
      <c r="I56" s="1" t="s">
        <v>22</v>
      </c>
      <c r="J56" s="223">
        <v>3</v>
      </c>
      <c r="K56" s="142"/>
      <c r="L56" s="226" t="str">
        <f>+_xlfn.IFNA(IF(VLOOKUP(heroes[[#This Row],[Hero]],'Warehouse - Cards'!$AB$4:$AI$400,7,FALSE)=0,"",VLOOKUP(heroes[[#This Row],[Hero]],'Warehouse - Cards'!$AB$4:$AI$400,7,FALSE)),"")</f>
        <v/>
      </c>
      <c r="M56" s="226" t="str">
        <f>+_xlfn.IFNA(IF(VLOOKUP(heroes[[#This Row],[Hero]],'Warehouse - Cards'!$AB$4:$AI$400,8,FALSE)=0,"",VLOOKUP(heroes[[#This Row],[Hero]],'Warehouse - Cards'!$AB$4:$AI$400,8,FALSE)),"")</f>
        <v/>
      </c>
      <c r="N56" s="253">
        <f>+_xlfn.IFNA(heroes[[#This Row],[Level]]+VLOOKUP(heroes[[#This Row],[Skill Level]],$A$81:$B$90,2,FALSE),0)</f>
        <v>749</v>
      </c>
      <c r="O56"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6" s="141">
        <f>+_xlfn.IFNA(heroes[[#This Row],[Talent Level]]/INDEX(validation.talent[max],MATCH(heroes[[#This Row],[Talent]],validation.talent[talent],0)),-1)</f>
        <v>1</v>
      </c>
      <c r="Q56" s="261" t="str">
        <f>+VLOOKUP(heroes[[#This Row],[Hero]],validation.heroes[],4,FALSE)</f>
        <v>Ordinary</v>
      </c>
      <c r="R56" s="143"/>
    </row>
    <row r="57" spans="1:18" ht="15" customHeight="1" x14ac:dyDescent="0.2">
      <c r="A57" s="25" t="s">
        <v>47</v>
      </c>
      <c r="B57"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No-080-66</v>
      </c>
      <c r="C57" s="145">
        <v>120</v>
      </c>
      <c r="D57" s="1" t="s">
        <v>15</v>
      </c>
      <c r="E57" s="147">
        <v>6</v>
      </c>
      <c r="F57" s="1" t="s">
        <v>8</v>
      </c>
      <c r="G57" s="9">
        <v>4</v>
      </c>
      <c r="H57" s="9">
        <v>60</v>
      </c>
      <c r="I57" s="1" t="s">
        <v>50</v>
      </c>
      <c r="J57" s="223">
        <v>2</v>
      </c>
      <c r="K57" s="142"/>
      <c r="L57" s="226" t="str">
        <f>+_xlfn.IFNA(IF(VLOOKUP(heroes[[#This Row],[Hero]],'Warehouse - Cards'!$AB$4:$AI$400,7,FALSE)=0,"",VLOOKUP(heroes[[#This Row],[Hero]],'Warehouse - Cards'!$AB$4:$AI$400,7,FALSE)),"")</f>
        <v/>
      </c>
      <c r="M57" s="226" t="str">
        <f>+_xlfn.IFNA(IF(VLOOKUP(heroes[[#This Row],[Hero]],'Warehouse - Cards'!$AB$4:$AI$400,8,FALSE)=0,"",VLOOKUP(heroes[[#This Row],[Hero]],'Warehouse - Cards'!$AB$4:$AI$400,8,FALSE)),"")</f>
        <v/>
      </c>
      <c r="N57" s="253">
        <f>+_xlfn.IFNA(heroes[[#This Row],[Level]]+VLOOKUP(heroes[[#This Row],[Skill Level]],$A$81:$B$90,2,FALSE),0)</f>
        <v>749</v>
      </c>
      <c r="O57"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7" s="141">
        <f>+_xlfn.IFNA(heroes[[#This Row],[Talent Level]]/INDEX(validation.talent[max],MATCH(heroes[[#This Row],[Talent]],validation.talent[talent],0)),-1)</f>
        <v>0.5</v>
      </c>
      <c r="Q57" s="261" t="str">
        <f>+VLOOKUP(heroes[[#This Row],[Hero]],validation.heroes[],4,FALSE)</f>
        <v>Ordinary</v>
      </c>
      <c r="R57" s="143"/>
    </row>
    <row r="58" spans="1:18" ht="15" customHeight="1" x14ac:dyDescent="0.2">
      <c r="A58" s="25" t="s">
        <v>65</v>
      </c>
      <c r="B58"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No-080-68</v>
      </c>
      <c r="C58" s="145">
        <v>120</v>
      </c>
      <c r="D58" s="1" t="s">
        <v>15</v>
      </c>
      <c r="E58" s="147">
        <v>6</v>
      </c>
      <c r="F58" s="1" t="s">
        <v>18</v>
      </c>
      <c r="G58" s="9">
        <v>5</v>
      </c>
      <c r="H58" s="9">
        <v>60</v>
      </c>
      <c r="I58" s="1"/>
      <c r="J58" s="223"/>
      <c r="K58" s="142"/>
      <c r="L58" s="226" t="str">
        <f>+_xlfn.IFNA(IF(VLOOKUP(heroes[[#This Row],[Hero]],'Warehouse - Cards'!$AB$4:$AI$400,7,FALSE)=0,"",VLOOKUP(heroes[[#This Row],[Hero]],'Warehouse - Cards'!$AB$4:$AI$400,7,FALSE)),"")</f>
        <v/>
      </c>
      <c r="M58" s="226" t="str">
        <f>+_xlfn.IFNA(IF(VLOOKUP(heroes[[#This Row],[Hero]],'Warehouse - Cards'!$AB$4:$AI$400,8,FALSE)=0,"",VLOOKUP(heroes[[#This Row],[Hero]],'Warehouse - Cards'!$AB$4:$AI$400,8,FALSE)),"")</f>
        <v/>
      </c>
      <c r="N58" s="253">
        <f>+_xlfn.IFNA(heroes[[#This Row],[Level]]+VLOOKUP(heroes[[#This Row],[Skill Level]],$A$81:$B$90,2,FALSE),0)</f>
        <v>749</v>
      </c>
      <c r="O58" s="226">
        <f>+IF(heroes[[#This Row],[Tower value]]&lt;50,0,IF(heroes[[#This Row],[Tower value]]&lt;=139,1,IF(heroes[[#This Row],[Tower value]]&lt;=299,2,IF(heroes[[#This Row],[Tower value]]&lt;=649,3,IF(heroes[[#This Row],[Tower value]]&lt;=1199,4,IF(heroes[[#This Row],[Tower value]]&lt;=2199,5,IF(heroes[[#This Row],[Tower value]]&lt;=3799,6,IF(heroes[[#This Row],[Tower value]]&gt;=3800,7))))))))</f>
        <v>4</v>
      </c>
      <c r="P58" s="141">
        <f>+_xlfn.IFNA(heroes[[#This Row],[Talent Level]]/INDEX(validation.talent[max],MATCH(heroes[[#This Row],[Talent]],validation.talent[talent],0)),-1)</f>
        <v>1</v>
      </c>
      <c r="Q58" s="261" t="str">
        <f>+VLOOKUP(heroes[[#This Row],[Hero]],validation.heroes[],4,FALSE)</f>
        <v>Ordinary</v>
      </c>
      <c r="R58" s="143"/>
    </row>
    <row r="59" spans="1:18" ht="15" customHeight="1" x14ac:dyDescent="0.2">
      <c r="A59" s="25" t="s">
        <v>9</v>
      </c>
      <c r="B59" s="251" t="str">
        <f>+_xlfn.IFNA(INDEX(validation.heroes[Type],MATCH(heroes[[#This Row],[Hero]],validation.heroes[Hero],0)),"4 -")&amp;"                    "&amp;heroes[[#This Row],[Evo?]]&amp;"-"&amp;TEXT(SUM(200-heroes[[#This Row],[Level]]),"000")&amp;"-"&amp;_xlfn.IFNA(SUM(INDEX(validation.heroes[SortKey],MATCH(heroes[[#This Row],[Hero]],validation.heroes[Hero],0))+heroes[[#This Row],[Inscr.]]),"")</f>
        <v>3 - Ordinary                    No-080-7</v>
      </c>
      <c r="C59" s="145">
        <v>120</v>
      </c>
      <c r="D59" s="1" t="s">
        <v>15</v>
      </c>
      <c r="E59" s="147">
        <v>2</v>
      </c>
      <c r="F59" s="1" t="s">
        <v>54</v>
      </c>
      <c r="G59" s="9">
        <v>5</v>
      </c>
      <c r="H59" s="9">
        <v>0</v>
      </c>
      <c r="I59" s="1"/>
      <c r="J59" s="223"/>
      <c r="K59" s="142"/>
      <c r="L59" s="226" t="str">
        <f>+_xlfn.IFNA(IF(VLOOKUP(heroes[[#This Row],[Hero]],'Warehouse - Cards'!$AB$4:$AI$400,7,FALSE)=0,"",VLOOKUP(heroes[[#This Row],[Hero]],'Warehouse - Cards'!$AB$4:$AI$400,7,FALSE)),"")</f>
        <v/>
      </c>
      <c r="M59" s="226" t="str">
        <f>+_xlfn.IFNA(IF(VLOOKUP(heroes[[#This Row],[Hero]],'Warehouse - Cards'!$AB$4:$AI$400,8,FALSE)=0,"",VLOOKUP(heroes[[#This Row],[Hero]],'Warehouse - Cards'!$AB$4:$AI$400,8,FALSE)),"")</f>
        <v/>
      </c>
      <c r="N59" s="253">
        <f>+_xlfn.IFNA(heroes[[#This Row],[Level]]+VLOOKUP(heroes[[#This Row],[Skill Level]],$A$81:$B$90,2,FALSE),0)</f>
        <v>156</v>
      </c>
      <c r="O59" s="226">
        <f>+IF(heroes[[#This Row],[Tower value]]&lt;50,0,IF(heroes[[#This Row],[Tower value]]&lt;=139,1,IF(heroes[[#This Row],[Tower value]]&lt;=299,2,IF(heroes[[#This Row],[Tower value]]&lt;=649,3,IF(heroes[[#This Row],[Tower value]]&lt;=1199,4,IF(heroes[[#This Row],[Tower value]]&lt;=2199,5,IF(heroes[[#This Row],[Tower value]]&lt;=3799,6,IF(heroes[[#This Row],[Tower value]]&gt;=3800,7))))))))</f>
        <v>2</v>
      </c>
      <c r="P59" s="141">
        <f>+_xlfn.IFNA(heroes[[#This Row],[Talent Level]]/INDEX(validation.talent[max],MATCH(heroes[[#This Row],[Talent]],validation.talent[talent],0)),-1)</f>
        <v>0.625</v>
      </c>
      <c r="Q59" s="261" t="str">
        <f>+VLOOKUP(heroes[[#This Row],[Hero]],validation.heroes[],4,FALSE)</f>
        <v>Ordinary</v>
      </c>
      <c r="R59" s="143"/>
    </row>
    <row r="60" spans="1:18" ht="15" customHeight="1" x14ac:dyDescent="0.2">
      <c r="A60" s="25"/>
      <c r="B60"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0" s="145"/>
      <c r="D60" s="1"/>
      <c r="E60" s="147"/>
      <c r="F60" s="1"/>
      <c r="G60" s="9"/>
      <c r="H60" s="9"/>
      <c r="I60" s="1"/>
      <c r="J60" s="223"/>
      <c r="K60" s="142"/>
      <c r="L60" s="226" t="str">
        <f>+_xlfn.IFNA(IF(VLOOKUP(heroes[[#This Row],[Hero]],'Warehouse - Cards'!$AB$4:$AI$400,7,FALSE)=0,"",VLOOKUP(heroes[[#This Row],[Hero]],'Warehouse - Cards'!$AB$4:$AI$400,7,FALSE)),"")</f>
        <v/>
      </c>
      <c r="M60" s="226" t="str">
        <f>+_xlfn.IFNA(IF(VLOOKUP(heroes[[#This Row],[Hero]],'Warehouse - Cards'!$AB$4:$AI$400,8,FALSE)=0,"",VLOOKUP(heroes[[#This Row],[Hero]],'Warehouse - Cards'!$AB$4:$AI$400,8,FALSE)),"")</f>
        <v/>
      </c>
      <c r="N60" s="253">
        <f>+_xlfn.IFNA(heroes[[#This Row],[Level]]+VLOOKUP(heroes[[#This Row],[Skill Level]],$A$81:$B$90,2,FALSE),0)</f>
        <v>0</v>
      </c>
      <c r="O60"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0" s="141">
        <f>+_xlfn.IFNA(heroes[[#This Row],[Talent Level]]/INDEX(validation.talent[max],MATCH(heroes[[#This Row],[Talent]],validation.talent[talent],0)),-1)</f>
        <v>-1</v>
      </c>
      <c r="Q60" s="261" t="e">
        <f>+VLOOKUP(heroes[[#This Row],[Hero]],validation.heroes[],4,FALSE)</f>
        <v>#N/A</v>
      </c>
      <c r="R60" s="143"/>
    </row>
    <row r="61" spans="1:18" ht="15" customHeight="1" x14ac:dyDescent="0.2">
      <c r="A61" s="25"/>
      <c r="B61"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1" s="145"/>
      <c r="D61" s="1"/>
      <c r="E61" s="147"/>
      <c r="F61" s="1"/>
      <c r="G61" s="9"/>
      <c r="H61" s="9"/>
      <c r="I61" s="1"/>
      <c r="J61" s="223"/>
      <c r="K61" s="142"/>
      <c r="L61" s="226" t="str">
        <f>+_xlfn.IFNA(IF(VLOOKUP(heroes[[#This Row],[Hero]],'Warehouse - Cards'!$AB$4:$AI$400,7,FALSE)=0,"",VLOOKUP(heroes[[#This Row],[Hero]],'Warehouse - Cards'!$AB$4:$AI$400,7,FALSE)),"")</f>
        <v/>
      </c>
      <c r="M61" s="226" t="str">
        <f>+_xlfn.IFNA(IF(VLOOKUP(heroes[[#This Row],[Hero]],'Warehouse - Cards'!$AB$4:$AI$400,8,FALSE)=0,"",VLOOKUP(heroes[[#This Row],[Hero]],'Warehouse - Cards'!$AB$4:$AI$400,8,FALSE)),"")</f>
        <v/>
      </c>
      <c r="N61" s="253">
        <f>+_xlfn.IFNA(heroes[[#This Row],[Level]]+VLOOKUP(heroes[[#This Row],[Skill Level]],$A$81:$B$90,2,FALSE),0)</f>
        <v>0</v>
      </c>
      <c r="O61"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1" s="141">
        <f>+_xlfn.IFNA(heroes[[#This Row],[Talent Level]]/INDEX(validation.talent[max],MATCH(heroes[[#This Row],[Talent]],validation.talent[talent],0)),-1)</f>
        <v>-1</v>
      </c>
      <c r="Q61" s="261" t="e">
        <f>+VLOOKUP(heroes[[#This Row],[Hero]],validation.heroes[],4,FALSE)</f>
        <v>#N/A</v>
      </c>
      <c r="R61" s="143"/>
    </row>
    <row r="62" spans="1:18" ht="15" customHeight="1" x14ac:dyDescent="0.2">
      <c r="A62" s="25"/>
      <c r="B62"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2" s="145"/>
      <c r="D62" s="1"/>
      <c r="E62" s="147"/>
      <c r="F62" s="1"/>
      <c r="G62" s="9"/>
      <c r="H62" s="9"/>
      <c r="I62" s="1"/>
      <c r="J62" s="223"/>
      <c r="K62" s="142"/>
      <c r="L62" s="226" t="str">
        <f>+_xlfn.IFNA(IF(VLOOKUP(heroes[[#This Row],[Hero]],'Warehouse - Cards'!$AB$4:$AI$400,7,FALSE)=0,"",VLOOKUP(heroes[[#This Row],[Hero]],'Warehouse - Cards'!$AB$4:$AI$400,7,FALSE)),"")</f>
        <v/>
      </c>
      <c r="M62" s="226" t="str">
        <f>+_xlfn.IFNA(IF(VLOOKUP(heroes[[#This Row],[Hero]],'Warehouse - Cards'!$AB$4:$AI$400,8,FALSE)=0,"",VLOOKUP(heroes[[#This Row],[Hero]],'Warehouse - Cards'!$AB$4:$AI$400,8,FALSE)),"")</f>
        <v/>
      </c>
      <c r="N62" s="253">
        <f>+_xlfn.IFNA(heroes[[#This Row],[Level]]+VLOOKUP(heroes[[#This Row],[Skill Level]],$A$81:$B$90,2,FALSE),0)</f>
        <v>0</v>
      </c>
      <c r="O62"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2" s="141">
        <f>+_xlfn.IFNA(heroes[[#This Row],[Talent Level]]/INDEX(validation.talent[max],MATCH(heroes[[#This Row],[Talent]],validation.talent[talent],0)),-1)</f>
        <v>-1</v>
      </c>
      <c r="Q62" s="261" t="e">
        <f>+VLOOKUP(heroes[[#This Row],[Hero]],validation.heroes[],4,FALSE)</f>
        <v>#N/A</v>
      </c>
      <c r="R62" s="143"/>
    </row>
    <row r="63" spans="1:18" ht="15" customHeight="1" x14ac:dyDescent="0.2">
      <c r="A63" s="25"/>
      <c r="B63"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3" s="145"/>
      <c r="D63" s="1"/>
      <c r="E63" s="147"/>
      <c r="F63" s="1"/>
      <c r="G63" s="9"/>
      <c r="H63" s="9"/>
      <c r="I63" s="1"/>
      <c r="J63" s="223"/>
      <c r="K63" s="142"/>
      <c r="L63" s="226" t="str">
        <f>+_xlfn.IFNA(IF(VLOOKUP(heroes[[#This Row],[Hero]],'Warehouse - Cards'!$AB$4:$AI$400,7,FALSE)=0,"",VLOOKUP(heroes[[#This Row],[Hero]],'Warehouse - Cards'!$AB$4:$AI$400,7,FALSE)),"")</f>
        <v/>
      </c>
      <c r="M63" s="226" t="str">
        <f>+_xlfn.IFNA(IF(VLOOKUP(heroes[[#This Row],[Hero]],'Warehouse - Cards'!$AB$4:$AI$400,8,FALSE)=0,"",VLOOKUP(heroes[[#This Row],[Hero]],'Warehouse - Cards'!$AB$4:$AI$400,8,FALSE)),"")</f>
        <v/>
      </c>
      <c r="N63" s="253">
        <f>+_xlfn.IFNA(heroes[[#This Row],[Level]]+VLOOKUP(heroes[[#This Row],[Skill Level]],$A$81:$B$90,2,FALSE),0)</f>
        <v>0</v>
      </c>
      <c r="O63"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3" s="141">
        <f>+_xlfn.IFNA(heroes[[#This Row],[Talent Level]]/INDEX(validation.talent[max],MATCH(heroes[[#This Row],[Talent]],validation.talent[talent],0)),-1)</f>
        <v>-1</v>
      </c>
      <c r="Q63" s="261" t="e">
        <f>+VLOOKUP(heroes[[#This Row],[Hero]],validation.heroes[],4,FALSE)</f>
        <v>#N/A</v>
      </c>
      <c r="R63" s="143"/>
    </row>
    <row r="64" spans="1:18" ht="15" customHeight="1" x14ac:dyDescent="0.2">
      <c r="A64" s="25"/>
      <c r="B64"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4" s="145"/>
      <c r="D64" s="1"/>
      <c r="E64" s="147"/>
      <c r="F64" s="1"/>
      <c r="G64" s="9"/>
      <c r="H64" s="9"/>
      <c r="I64" s="1"/>
      <c r="J64" s="223"/>
      <c r="K64" s="142"/>
      <c r="L64" s="226" t="str">
        <f>+_xlfn.IFNA(IF(VLOOKUP(heroes[[#This Row],[Hero]],'Warehouse - Cards'!$AB$4:$AI$400,7,FALSE)=0,"",VLOOKUP(heroes[[#This Row],[Hero]],'Warehouse - Cards'!$AB$4:$AI$400,7,FALSE)),"")</f>
        <v/>
      </c>
      <c r="M64" s="226" t="str">
        <f>+_xlfn.IFNA(IF(VLOOKUP(heroes[[#This Row],[Hero]],'Warehouse - Cards'!$AB$4:$AI$400,8,FALSE)=0,"",VLOOKUP(heroes[[#This Row],[Hero]],'Warehouse - Cards'!$AB$4:$AI$400,8,FALSE)),"")</f>
        <v/>
      </c>
      <c r="N64" s="253">
        <f>+_xlfn.IFNA(heroes[[#This Row],[Level]]+VLOOKUP(heroes[[#This Row],[Skill Level]],$A$81:$B$90,2,FALSE),0)</f>
        <v>0</v>
      </c>
      <c r="O64"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4" s="141">
        <f>+_xlfn.IFNA(heroes[[#This Row],[Talent Level]]/INDEX(validation.talent[max],MATCH(heroes[[#This Row],[Talent]],validation.talent[talent],0)),-1)</f>
        <v>-1</v>
      </c>
      <c r="Q64" s="261" t="e">
        <f>+VLOOKUP(heroes[[#This Row],[Hero]],validation.heroes[],4,FALSE)</f>
        <v>#N/A</v>
      </c>
      <c r="R64" s="143"/>
    </row>
    <row r="65" spans="1:18" ht="15" customHeight="1" x14ac:dyDescent="0.2">
      <c r="A65" s="25"/>
      <c r="B65"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5" s="145"/>
      <c r="D65" s="1"/>
      <c r="E65" s="147"/>
      <c r="F65" s="1"/>
      <c r="G65" s="9"/>
      <c r="H65" s="9"/>
      <c r="I65" s="1"/>
      <c r="J65" s="223"/>
      <c r="K65" s="142"/>
      <c r="L65" s="226" t="str">
        <f>+_xlfn.IFNA(IF(VLOOKUP(heroes[[#This Row],[Hero]],'Warehouse - Cards'!$AB$4:$AI$400,7,FALSE)=0,"",VLOOKUP(heroes[[#This Row],[Hero]],'Warehouse - Cards'!$AB$4:$AI$400,7,FALSE)),"")</f>
        <v/>
      </c>
      <c r="M65" s="226" t="str">
        <f>+_xlfn.IFNA(IF(VLOOKUP(heroes[[#This Row],[Hero]],'Warehouse - Cards'!$AB$4:$AI$400,8,FALSE)=0,"",VLOOKUP(heroes[[#This Row],[Hero]],'Warehouse - Cards'!$AB$4:$AI$400,8,FALSE)),"")</f>
        <v/>
      </c>
      <c r="N65" s="253">
        <f>+_xlfn.IFNA(heroes[[#This Row],[Level]]+VLOOKUP(heroes[[#This Row],[Skill Level]],$A$81:$B$90,2,FALSE),0)</f>
        <v>0</v>
      </c>
      <c r="O65"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5" s="141">
        <f>+_xlfn.IFNA(heroes[[#This Row],[Talent Level]]/INDEX(validation.talent[max],MATCH(heroes[[#This Row],[Talent]],validation.talent[talent],0)),-1)</f>
        <v>-1</v>
      </c>
      <c r="Q65" s="261" t="e">
        <f>+VLOOKUP(heroes[[#This Row],[Hero]],validation.heroes[],4,FALSE)</f>
        <v>#N/A</v>
      </c>
      <c r="R65" s="143"/>
    </row>
    <row r="66" spans="1:18" ht="15" customHeight="1" x14ac:dyDescent="0.2">
      <c r="A66" s="25"/>
      <c r="B66"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6" s="145"/>
      <c r="D66" s="1"/>
      <c r="E66" s="147"/>
      <c r="F66" s="1"/>
      <c r="G66" s="9"/>
      <c r="H66" s="9"/>
      <c r="I66" s="1"/>
      <c r="J66" s="223"/>
      <c r="K66" s="142"/>
      <c r="L66" s="226" t="str">
        <f>+_xlfn.IFNA(IF(VLOOKUP(heroes[[#This Row],[Hero]],'Warehouse - Cards'!$AB$4:$AI$400,7,FALSE)=0,"",VLOOKUP(heroes[[#This Row],[Hero]],'Warehouse - Cards'!$AB$4:$AI$400,7,FALSE)),"")</f>
        <v/>
      </c>
      <c r="M66" s="226" t="str">
        <f>+_xlfn.IFNA(IF(VLOOKUP(heroes[[#This Row],[Hero]],'Warehouse - Cards'!$AB$4:$AI$400,8,FALSE)=0,"",VLOOKUP(heroes[[#This Row],[Hero]],'Warehouse - Cards'!$AB$4:$AI$400,8,FALSE)),"")</f>
        <v/>
      </c>
      <c r="N66" s="253">
        <f>+_xlfn.IFNA(heroes[[#This Row],[Level]]+VLOOKUP(heroes[[#This Row],[Skill Level]],$A$81:$B$90,2,FALSE),0)</f>
        <v>0</v>
      </c>
      <c r="O66"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6" s="141">
        <f>+_xlfn.IFNA(heroes[[#This Row],[Talent Level]]/INDEX(validation.talent[max],MATCH(heroes[[#This Row],[Talent]],validation.talent[talent],0)),-1)</f>
        <v>-1</v>
      </c>
      <c r="Q66" s="261" t="e">
        <f>+VLOOKUP(heroes[[#This Row],[Hero]],validation.heroes[],4,FALSE)</f>
        <v>#N/A</v>
      </c>
      <c r="R66" s="143"/>
    </row>
    <row r="67" spans="1:18" ht="15" customHeight="1" x14ac:dyDescent="0.2">
      <c r="A67" s="25"/>
      <c r="B67"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7" s="145"/>
      <c r="D67" s="1"/>
      <c r="E67" s="147"/>
      <c r="F67" s="1"/>
      <c r="G67" s="9"/>
      <c r="H67" s="9"/>
      <c r="I67" s="1"/>
      <c r="J67" s="223"/>
      <c r="K67" s="142"/>
      <c r="L67" s="226" t="str">
        <f>+_xlfn.IFNA(IF(VLOOKUP(heroes[[#This Row],[Hero]],'Warehouse - Cards'!$AB$4:$AI$400,7,FALSE)=0,"",VLOOKUP(heroes[[#This Row],[Hero]],'Warehouse - Cards'!$AB$4:$AI$400,7,FALSE)),"")</f>
        <v/>
      </c>
      <c r="M67" s="226" t="str">
        <f>+_xlfn.IFNA(IF(VLOOKUP(heroes[[#This Row],[Hero]],'Warehouse - Cards'!$AB$4:$AI$400,8,FALSE)=0,"",VLOOKUP(heroes[[#This Row],[Hero]],'Warehouse - Cards'!$AB$4:$AI$400,8,FALSE)),"")</f>
        <v/>
      </c>
      <c r="N67" s="253">
        <f>+_xlfn.IFNA(heroes[[#This Row],[Level]]+VLOOKUP(heroes[[#This Row],[Skill Level]],$A$81:$B$90,2,FALSE),0)</f>
        <v>0</v>
      </c>
      <c r="O67"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7" s="141">
        <f>+_xlfn.IFNA(heroes[[#This Row],[Talent Level]]/INDEX(validation.talent[max],MATCH(heroes[[#This Row],[Talent]],validation.talent[talent],0)),-1)</f>
        <v>-1</v>
      </c>
      <c r="Q67" s="261" t="e">
        <f>+VLOOKUP(heroes[[#This Row],[Hero]],validation.heroes[],4,FALSE)</f>
        <v>#N/A</v>
      </c>
      <c r="R67" s="143"/>
    </row>
    <row r="68" spans="1:18" ht="15" customHeight="1" x14ac:dyDescent="0.2">
      <c r="A68" s="25"/>
      <c r="B68"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8" s="145"/>
      <c r="D68" s="1"/>
      <c r="E68" s="147"/>
      <c r="F68" s="1"/>
      <c r="G68" s="9"/>
      <c r="H68" s="9"/>
      <c r="I68" s="1"/>
      <c r="J68" s="223"/>
      <c r="K68" s="142"/>
      <c r="L68" s="226" t="str">
        <f>+_xlfn.IFNA(IF(VLOOKUP(heroes[[#This Row],[Hero]],'Warehouse - Cards'!$AB$4:$AI$400,7,FALSE)=0,"",VLOOKUP(heroes[[#This Row],[Hero]],'Warehouse - Cards'!$AB$4:$AI$400,7,FALSE)),"")</f>
        <v/>
      </c>
      <c r="M68" s="226" t="str">
        <f>+_xlfn.IFNA(IF(VLOOKUP(heroes[[#This Row],[Hero]],'Warehouse - Cards'!$AB$4:$AI$400,8,FALSE)=0,"",VLOOKUP(heroes[[#This Row],[Hero]],'Warehouse - Cards'!$AB$4:$AI$400,8,FALSE)),"")</f>
        <v/>
      </c>
      <c r="N68" s="253">
        <f>+_xlfn.IFNA(heroes[[#This Row],[Level]]+VLOOKUP(heroes[[#This Row],[Skill Level]],$A$81:$B$90,2,FALSE),0)</f>
        <v>0</v>
      </c>
      <c r="O68"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8" s="141">
        <f>+_xlfn.IFNA(heroes[[#This Row],[Talent Level]]/INDEX(validation.talent[max],MATCH(heroes[[#This Row],[Talent]],validation.talent[talent],0)),-1)</f>
        <v>-1</v>
      </c>
      <c r="Q68" s="261" t="e">
        <f>+VLOOKUP(heroes[[#This Row],[Hero]],validation.heroes[],4,FALSE)</f>
        <v>#N/A</v>
      </c>
      <c r="R68" s="143"/>
    </row>
    <row r="69" spans="1:18" ht="15" customHeight="1" x14ac:dyDescent="0.2">
      <c r="A69" s="25"/>
      <c r="B69"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69" s="145"/>
      <c r="D69" s="1"/>
      <c r="E69" s="147"/>
      <c r="F69" s="1"/>
      <c r="G69" s="9"/>
      <c r="H69" s="9"/>
      <c r="I69" s="1"/>
      <c r="J69" s="223"/>
      <c r="K69" s="142"/>
      <c r="L69" s="226" t="str">
        <f>+_xlfn.IFNA(IF(VLOOKUP(heroes[[#This Row],[Hero]],'Warehouse - Cards'!$AB$4:$AI$400,7,FALSE)=0,"",VLOOKUP(heroes[[#This Row],[Hero]],'Warehouse - Cards'!$AB$4:$AI$400,7,FALSE)),"")</f>
        <v/>
      </c>
      <c r="M69" s="226" t="str">
        <f>+_xlfn.IFNA(IF(VLOOKUP(heroes[[#This Row],[Hero]],'Warehouse - Cards'!$AB$4:$AI$400,8,FALSE)=0,"",VLOOKUP(heroes[[#This Row],[Hero]],'Warehouse - Cards'!$AB$4:$AI$400,8,FALSE)),"")</f>
        <v/>
      </c>
      <c r="N69" s="253">
        <f>+_xlfn.IFNA(heroes[[#This Row],[Level]]+VLOOKUP(heroes[[#This Row],[Skill Level]],$A$81:$B$90,2,FALSE),0)</f>
        <v>0</v>
      </c>
      <c r="O69"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69" s="141">
        <f>+_xlfn.IFNA(heroes[[#This Row],[Talent Level]]/INDEX(validation.talent[max],MATCH(heroes[[#This Row],[Talent]],validation.talent[talent],0)),-1)</f>
        <v>-1</v>
      </c>
      <c r="Q69" s="261" t="e">
        <f>+VLOOKUP(heroes[[#This Row],[Hero]],validation.heroes[],4,FALSE)</f>
        <v>#N/A</v>
      </c>
      <c r="R69" s="143"/>
    </row>
    <row r="70" spans="1:18" ht="15" customHeight="1" x14ac:dyDescent="0.2">
      <c r="A70" s="25"/>
      <c r="B70"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70" s="145"/>
      <c r="D70" s="1"/>
      <c r="E70" s="147"/>
      <c r="F70" s="1"/>
      <c r="G70" s="9"/>
      <c r="H70" s="9"/>
      <c r="I70" s="1"/>
      <c r="J70" s="223"/>
      <c r="K70" s="142"/>
      <c r="L70" s="226" t="str">
        <f>+_xlfn.IFNA(IF(VLOOKUP(heroes[[#This Row],[Hero]],'Warehouse - Cards'!$AB$4:$AI$400,7,FALSE)=0,"",VLOOKUP(heroes[[#This Row],[Hero]],'Warehouse - Cards'!$AB$4:$AI$400,7,FALSE)),"")</f>
        <v/>
      </c>
      <c r="M70" s="226" t="str">
        <f>+_xlfn.IFNA(IF(VLOOKUP(heroes[[#This Row],[Hero]],'Warehouse - Cards'!$AB$4:$AI$400,8,FALSE)=0,"",VLOOKUP(heroes[[#This Row],[Hero]],'Warehouse - Cards'!$AB$4:$AI$400,8,FALSE)),"")</f>
        <v/>
      </c>
      <c r="N70" s="253">
        <f>+_xlfn.IFNA(heroes[[#This Row],[Level]]+VLOOKUP(heroes[[#This Row],[Skill Level]],$A$81:$B$90,2,FALSE),0)</f>
        <v>0</v>
      </c>
      <c r="O70"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0" s="141">
        <f>+_xlfn.IFNA(heroes[[#This Row],[Talent Level]]/INDEX(validation.talent[max],MATCH(heroes[[#This Row],[Talent]],validation.talent[talent],0)),-1)</f>
        <v>-1</v>
      </c>
      <c r="Q70" s="261" t="e">
        <f>+VLOOKUP(heroes[[#This Row],[Hero]],validation.heroes[],4,FALSE)</f>
        <v>#N/A</v>
      </c>
      <c r="R70" s="143"/>
    </row>
    <row r="71" spans="1:18" ht="15" customHeight="1" x14ac:dyDescent="0.2">
      <c r="A71" s="25"/>
      <c r="B71"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71" s="145"/>
      <c r="D71" s="1"/>
      <c r="E71" s="147"/>
      <c r="F71" s="1"/>
      <c r="G71" s="9"/>
      <c r="H71" s="9"/>
      <c r="I71" s="1"/>
      <c r="J71" s="223"/>
      <c r="K71" s="142"/>
      <c r="L71" s="226" t="str">
        <f>+_xlfn.IFNA(IF(VLOOKUP(heroes[[#This Row],[Hero]],'Warehouse - Cards'!$AB$4:$AI$400,7,FALSE)=0,"",VLOOKUP(heroes[[#This Row],[Hero]],'Warehouse - Cards'!$AB$4:$AI$400,7,FALSE)),"")</f>
        <v/>
      </c>
      <c r="M71" s="226" t="str">
        <f>+_xlfn.IFNA(IF(VLOOKUP(heroes[[#This Row],[Hero]],'Warehouse - Cards'!$AB$4:$AI$400,8,FALSE)=0,"",VLOOKUP(heroes[[#This Row],[Hero]],'Warehouse - Cards'!$AB$4:$AI$400,8,FALSE)),"")</f>
        <v/>
      </c>
      <c r="N71" s="253">
        <f>+_xlfn.IFNA(heroes[[#This Row],[Level]]+VLOOKUP(heroes[[#This Row],[Skill Level]],$A$81:$B$90,2,FALSE),0)</f>
        <v>0</v>
      </c>
      <c r="O71"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1" s="141">
        <f>+_xlfn.IFNA(heroes[[#This Row],[Talent Level]]/INDEX(validation.talent[max],MATCH(heroes[[#This Row],[Talent]],validation.talent[talent],0)),-1)</f>
        <v>-1</v>
      </c>
      <c r="Q71" s="261" t="e">
        <f>+VLOOKUP(heroes[[#This Row],[Hero]],validation.heroes[],4,FALSE)</f>
        <v>#N/A</v>
      </c>
      <c r="R71" s="143"/>
    </row>
    <row r="72" spans="1:18" ht="15" customHeight="1" x14ac:dyDescent="0.2">
      <c r="A72" s="25"/>
      <c r="B72"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72" s="145"/>
      <c r="D72" s="1"/>
      <c r="E72" s="147"/>
      <c r="F72" s="1"/>
      <c r="G72" s="9"/>
      <c r="H72" s="9"/>
      <c r="I72" s="1"/>
      <c r="J72" s="223"/>
      <c r="K72" s="142"/>
      <c r="L72" s="226" t="str">
        <f>+_xlfn.IFNA(IF(VLOOKUP(heroes[[#This Row],[Hero]],'Warehouse - Cards'!$AB$4:$AI$400,7,FALSE)=0,"",VLOOKUP(heroes[[#This Row],[Hero]],'Warehouse - Cards'!$AB$4:$AI$400,7,FALSE)),"")</f>
        <v/>
      </c>
      <c r="M72" s="226" t="str">
        <f>+_xlfn.IFNA(IF(VLOOKUP(heroes[[#This Row],[Hero]],'Warehouse - Cards'!$AB$4:$AI$400,8,FALSE)=0,"",VLOOKUP(heroes[[#This Row],[Hero]],'Warehouse - Cards'!$AB$4:$AI$400,8,FALSE)),"")</f>
        <v/>
      </c>
      <c r="N72" s="253">
        <f>+_xlfn.IFNA(heroes[[#This Row],[Level]]+VLOOKUP(heroes[[#This Row],[Skill Level]],$A$81:$B$90,2,FALSE),0)</f>
        <v>0</v>
      </c>
      <c r="O72"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2" s="141">
        <f>+_xlfn.IFNA(heroes[[#This Row],[Talent Level]]/INDEX(validation.talent[max],MATCH(heroes[[#This Row],[Talent]],validation.talent[talent],0)),-1)</f>
        <v>-1</v>
      </c>
      <c r="Q72" s="261" t="e">
        <f>+VLOOKUP(heroes[[#This Row],[Hero]],validation.heroes[],4,FALSE)</f>
        <v>#N/A</v>
      </c>
      <c r="R72" s="143"/>
    </row>
    <row r="73" spans="1:18" ht="15" customHeight="1" x14ac:dyDescent="0.2">
      <c r="A73" s="25"/>
      <c r="B73" s="251" t="str">
        <f>+_xlfn.IFNA(INDEX(validation.heroes[Type],MATCH(heroes[[#This Row],[Hero]],validation.heroes[Hero],0)),"4 -")&amp;"                    "&amp;heroes[[#This Row],[Evo?]]&amp;"-"&amp;TEXT(SUM(200-heroes[[#This Row],[Level]]),"000")&amp;"-"&amp;_xlfn.IFNA(SUM(INDEX(validation.heroes[SortKey],MATCH(heroes[[#This Row],[Hero]],validation.heroes[Hero],0))+heroes[[#This Row],[Inscr.]]),"")</f>
        <v>4 -                    -200-</v>
      </c>
      <c r="C73" s="145"/>
      <c r="D73" s="1"/>
      <c r="E73" s="147"/>
      <c r="F73" s="1"/>
      <c r="G73" s="9"/>
      <c r="H73" s="9"/>
      <c r="I73" s="1"/>
      <c r="J73" s="223"/>
      <c r="K73" s="142"/>
      <c r="L73" s="226" t="str">
        <f>+_xlfn.IFNA(IF(VLOOKUP(heroes[[#This Row],[Hero]],'Warehouse - Cards'!$AB$4:$AI$400,7,FALSE)=0,"",VLOOKUP(heroes[[#This Row],[Hero]],'Warehouse - Cards'!$AB$4:$AI$400,7,FALSE)),"")</f>
        <v/>
      </c>
      <c r="M73" s="226" t="str">
        <f>+_xlfn.IFNA(IF(VLOOKUP(heroes[[#This Row],[Hero]],'Warehouse - Cards'!$AB$4:$AI$400,8,FALSE)=0,"",VLOOKUP(heroes[[#This Row],[Hero]],'Warehouse - Cards'!$AB$4:$AI$400,8,FALSE)),"")</f>
        <v/>
      </c>
      <c r="N73" s="253">
        <f>+_xlfn.IFNA(heroes[[#This Row],[Level]]+VLOOKUP(heroes[[#This Row],[Skill Level]],$A$81:$B$90,2,FALSE),0)</f>
        <v>0</v>
      </c>
      <c r="O73"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3" s="141">
        <f>+_xlfn.IFNA(heroes[[#This Row],[Talent Level]]/INDEX(validation.talent[max],MATCH(heroes[[#This Row],[Talent]],validation.talent[talent],0)),-1)</f>
        <v>-1</v>
      </c>
      <c r="Q73" s="261" t="e">
        <f>+VLOOKUP(heroes[[#This Row],[Hero]],validation.heroes[],4,FALSE)</f>
        <v>#N/A</v>
      </c>
      <c r="R73" s="143"/>
    </row>
    <row r="74" spans="1:18" ht="15" customHeight="1" x14ac:dyDescent="0.2">
      <c r="A74" s="25"/>
      <c r="B74" s="239" t="str">
        <f>+_xlfn.IFNA(INDEX(validation.heroes[Type],MATCH(heroes[[#This Row],[Hero]],validation.heroes[Hero],0)),"4 -")&amp;"                    "&amp;heroes[[#This Row],[Evo?]]&amp;"-"&amp;TEXT(SUM(200-heroes[[#This Row],[Level]]),"000")&amp;"-"&amp;_xlfn.IFNA(SUM(INDEX(validation.heroes[SortKey],MATCH(heroes[[#This Row],[Hero]],validation.heroes[Hero],0))+heroes[[#This Row],[Inscr.]]),"")</f>
        <v>4 -                    -200-</v>
      </c>
      <c r="C74" s="227"/>
      <c r="D74" s="1"/>
      <c r="E74" s="147"/>
      <c r="F74" s="1"/>
      <c r="G74" s="9"/>
      <c r="H74" s="9"/>
      <c r="I74" s="1"/>
      <c r="J74" s="223"/>
      <c r="K74" s="142"/>
      <c r="L74" s="226" t="str">
        <f>+_xlfn.IFNA(IF(VLOOKUP(heroes[[#This Row],[Hero]],'Warehouse - Cards'!$AB$4:$AI$400,7,FALSE)=0,"",VLOOKUP(heroes[[#This Row],[Hero]],'Warehouse - Cards'!$AB$4:$AI$400,7,FALSE)),"")</f>
        <v/>
      </c>
      <c r="M74" s="226" t="str">
        <f>+_xlfn.IFNA(IF(VLOOKUP(heroes[[#This Row],[Hero]],'Warehouse - Cards'!$AB$4:$AI$400,8,FALSE)=0,"",VLOOKUP(heroes[[#This Row],[Hero]],'Warehouse - Cards'!$AB$4:$AI$400,8,FALSE)),"")</f>
        <v/>
      </c>
      <c r="N74" s="253">
        <f>+_xlfn.IFNA(heroes[[#This Row],[Level]]+VLOOKUP(heroes[[#This Row],[Skill Level]],$A$81:$B$90,2,FALSE),0)</f>
        <v>0</v>
      </c>
      <c r="O74"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4" s="141">
        <f>+_xlfn.IFNA(heroes[[#This Row],[Talent Level]]/INDEX(validation.talent[max],MATCH(heroes[[#This Row],[Talent]],validation.talent[talent],0)),-1)</f>
        <v>-1</v>
      </c>
      <c r="Q74" s="261" t="e">
        <f>+VLOOKUP(heroes[[#This Row],[Hero]],validation.heroes[],4,FALSE)</f>
        <v>#N/A</v>
      </c>
      <c r="R74" s="143"/>
    </row>
    <row r="75" spans="1:18" ht="15" customHeight="1" x14ac:dyDescent="0.2">
      <c r="A75" s="161"/>
      <c r="B75" s="252" t="str">
        <f>+_xlfn.IFNA(INDEX(validation.heroes[Type],MATCH(heroes[[#This Row],[Hero]],validation.heroes[Hero],0)),"4 -")&amp;"                    "&amp;heroes[[#This Row],[Evo?]]&amp;"-"&amp;TEXT(SUM(200-heroes[[#This Row],[Level]]),"000")&amp;"-"&amp;_xlfn.IFNA(SUM(INDEX(validation.heroes[SortKey],MATCH(heroes[[#This Row],[Hero]],validation.heroes[Hero],0))+heroes[[#This Row],[Inscr.]]),"")</f>
        <v>4 -                    -200-</v>
      </c>
      <c r="C75" s="142"/>
      <c r="D75" s="152"/>
      <c r="E75" s="153"/>
      <c r="F75" s="152"/>
      <c r="G75" s="142"/>
      <c r="H75" s="142"/>
      <c r="I75" s="152"/>
      <c r="J75" s="223"/>
      <c r="K75" s="142"/>
      <c r="L75" s="226" t="str">
        <f>+_xlfn.IFNA(IF(VLOOKUP(heroes[[#This Row],[Hero]],'Warehouse - Cards'!$AB$4:$AI$400,7,FALSE)=0,"",VLOOKUP(heroes[[#This Row],[Hero]],'Warehouse - Cards'!$AB$4:$AI$400,7,FALSE)),"")</f>
        <v/>
      </c>
      <c r="M75" s="226" t="str">
        <f>+_xlfn.IFNA(IF(VLOOKUP(heroes[[#This Row],[Hero]],'Warehouse - Cards'!$AB$4:$AI$400,8,FALSE)=0,"",VLOOKUP(heroes[[#This Row],[Hero]],'Warehouse - Cards'!$AB$4:$AI$400,8,FALSE)),"")</f>
        <v/>
      </c>
      <c r="N75" s="253">
        <f>+_xlfn.IFNA(heroes[[#This Row],[Level]]+VLOOKUP(heroes[[#This Row],[Skill Level]],$A$81:$B$90,2,FALSE),0)</f>
        <v>0</v>
      </c>
      <c r="O75"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5" s="141">
        <f>+_xlfn.IFNA(heroes[[#This Row],[Talent Level]]/INDEX(validation.talent[max],MATCH(heroes[[#This Row],[Talent]],validation.talent[talent],0)),-1)</f>
        <v>-1</v>
      </c>
      <c r="Q75" s="261" t="e">
        <f>+VLOOKUP(heroes[[#This Row],[Hero]],validation.heroes[],4,FALSE)</f>
        <v>#N/A</v>
      </c>
      <c r="R75" s="143"/>
    </row>
    <row r="76" spans="1:18" ht="15" customHeight="1" x14ac:dyDescent="0.2">
      <c r="A76" s="161"/>
      <c r="B76" s="252" t="str">
        <f>+_xlfn.IFNA(INDEX(validation.heroes[Type],MATCH(heroes[[#This Row],[Hero]],validation.heroes[Hero],0)),"4 -")&amp;"                    "&amp;heroes[[#This Row],[Evo?]]&amp;"-"&amp;TEXT(SUM(200-heroes[[#This Row],[Level]]),"000")&amp;"-"&amp;_xlfn.IFNA(SUM(INDEX(validation.heroes[SortKey],MATCH(heroes[[#This Row],[Hero]],validation.heroes[Hero],0))+heroes[[#This Row],[Inscr.]]),"")</f>
        <v>4 -                    -200-</v>
      </c>
      <c r="C76" s="142"/>
      <c r="D76" s="152"/>
      <c r="E76" s="153"/>
      <c r="F76" s="152"/>
      <c r="G76" s="142"/>
      <c r="H76" s="142"/>
      <c r="I76" s="155"/>
      <c r="J76" s="224"/>
      <c r="K76" s="142"/>
      <c r="L76" s="226" t="str">
        <f>+_xlfn.IFNA(IF(VLOOKUP(heroes[[#This Row],[Hero]],'Warehouse - Cards'!$AB$4:$AI$400,7,FALSE)=0,"",VLOOKUP(heroes[[#This Row],[Hero]],'Warehouse - Cards'!$AB$4:$AI$400,7,FALSE)),"")</f>
        <v/>
      </c>
      <c r="M76" s="226" t="str">
        <f>+_xlfn.IFNA(IF(VLOOKUP(heroes[[#This Row],[Hero]],'Warehouse - Cards'!$AB$4:$AI$400,8,FALSE)=0,"",VLOOKUP(heroes[[#This Row],[Hero]],'Warehouse - Cards'!$AB$4:$AI$400,8,FALSE)),"")</f>
        <v/>
      </c>
      <c r="N76" s="253">
        <f>+_xlfn.IFNA(heroes[[#This Row],[Level]]+VLOOKUP(heroes[[#This Row],[Skill Level]],$A$81:$B$90,2,FALSE),0)</f>
        <v>0</v>
      </c>
      <c r="O76"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6" s="154">
        <f>+_xlfn.IFNA(heroes[[#This Row],[Talent Level]]/INDEX(validation.talent[max],MATCH(heroes[[#This Row],[Talent]],validation.talent[talent],0)),-1)</f>
        <v>-1</v>
      </c>
      <c r="Q76" s="261" t="e">
        <f>+VLOOKUP(heroes[[#This Row],[Hero]],validation.heroes[],4,FALSE)</f>
        <v>#N/A</v>
      </c>
    </row>
    <row r="77" spans="1:18" ht="15" customHeight="1" x14ac:dyDescent="0.2">
      <c r="A77" s="161"/>
      <c r="B77" s="252" t="str">
        <f>+_xlfn.IFNA(INDEX(validation.heroes[Type],MATCH(heroes[[#This Row],[Hero]],validation.heroes[Hero],0)),"4 -")&amp;"                    "&amp;heroes[[#This Row],[Evo?]]&amp;"-"&amp;TEXT(SUM(200-heroes[[#This Row],[Level]]),"000")&amp;"-"&amp;_xlfn.IFNA(SUM(INDEX(validation.heroes[SortKey],MATCH(heroes[[#This Row],[Hero]],validation.heroes[Hero],0))+heroes[[#This Row],[Inscr.]]),"")</f>
        <v>4 -                    -200-</v>
      </c>
      <c r="C77" s="142"/>
      <c r="D77" s="152"/>
      <c r="E77" s="153"/>
      <c r="F77" s="152"/>
      <c r="G77" s="142"/>
      <c r="H77" s="142"/>
      <c r="I77" s="152"/>
      <c r="J77" s="223"/>
      <c r="K77" s="142"/>
      <c r="L77" s="226" t="str">
        <f>+_xlfn.IFNA(IF(VLOOKUP(heroes[[#This Row],[Hero]],'Warehouse - Cards'!$AB$4:$AI$400,7,FALSE)=0,"",VLOOKUP(heroes[[#This Row],[Hero]],'Warehouse - Cards'!$AB$4:$AI$400,7,FALSE)),"")</f>
        <v/>
      </c>
      <c r="M77" s="226" t="str">
        <f>+_xlfn.IFNA(IF(VLOOKUP(heroes[[#This Row],[Hero]],'Warehouse - Cards'!$AB$4:$AI$400,8,FALSE)=0,"",VLOOKUP(heroes[[#This Row],[Hero]],'Warehouse - Cards'!$AB$4:$AI$400,8,FALSE)),"")</f>
        <v/>
      </c>
      <c r="N77" s="253">
        <f>+_xlfn.IFNA(heroes[[#This Row],[Level]]+VLOOKUP(heroes[[#This Row],[Skill Level]],$A$81:$B$90,2,FALSE),0)</f>
        <v>0</v>
      </c>
      <c r="O77"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7" s="146">
        <f>+_xlfn.IFNA(heroes[[#This Row],[Talent Level]]/INDEX(validation.talent[max],MATCH(heroes[[#This Row],[Talent]],validation.talent[talent],0)),-1)</f>
        <v>-1</v>
      </c>
      <c r="Q77" s="261" t="e">
        <f>+VLOOKUP(heroes[[#This Row],[Hero]],validation.heroes[],4,FALSE)</f>
        <v>#N/A</v>
      </c>
    </row>
    <row r="78" spans="1:18" ht="15" customHeight="1" x14ac:dyDescent="0.2">
      <c r="A78" s="161"/>
      <c r="B78" s="252" t="str">
        <f>+_xlfn.IFNA(INDEX(validation.heroes[Type],MATCH(heroes[[#This Row],[Hero]],validation.heroes[Hero],0)),"4 -")&amp;"                    "&amp;heroes[[#This Row],[Evo?]]&amp;"-"&amp;TEXT(SUM(200-heroes[[#This Row],[Level]]),"000")&amp;"-"&amp;_xlfn.IFNA(SUM(INDEX(validation.heroes[SortKey],MATCH(heroes[[#This Row],[Hero]],validation.heroes[Hero],0))+heroes[[#This Row],[Inscr.]]),"")</f>
        <v>4 -                    -200-</v>
      </c>
      <c r="C78" s="142"/>
      <c r="D78" s="152"/>
      <c r="E78" s="153"/>
      <c r="F78" s="152"/>
      <c r="G78" s="142"/>
      <c r="H78" s="142"/>
      <c r="I78" s="155"/>
      <c r="J78" s="224"/>
      <c r="K78" s="156"/>
      <c r="L78" s="226" t="str">
        <f>+_xlfn.IFNA(IF(VLOOKUP(heroes[[#This Row],[Hero]],'Warehouse - Cards'!$AB$4:$AI$400,7,FALSE)=0,"",VLOOKUP(heroes[[#This Row],[Hero]],'Warehouse - Cards'!$AB$4:$AI$400,7,FALSE)),"")</f>
        <v/>
      </c>
      <c r="M78" s="226" t="str">
        <f>+_xlfn.IFNA(IF(VLOOKUP(heroes[[#This Row],[Hero]],'Warehouse - Cards'!$AB$4:$AI$400,8,FALSE)=0,"",VLOOKUP(heroes[[#This Row],[Hero]],'Warehouse - Cards'!$AB$4:$AI$400,8,FALSE)),"")</f>
        <v/>
      </c>
      <c r="N78" s="253">
        <f>+_xlfn.IFNA(heroes[[#This Row],[Level]]+VLOOKUP(heroes[[#This Row],[Skill Level]],$A$81:$B$90,2,FALSE),0)</f>
        <v>0</v>
      </c>
      <c r="O78" s="226">
        <f>+IF(heroes[[#This Row],[Tower value]]&lt;50,0,IF(heroes[[#This Row],[Tower value]]&lt;=139,1,IF(heroes[[#This Row],[Tower value]]&lt;=299,2,IF(heroes[[#This Row],[Tower value]]&lt;=649,3,IF(heroes[[#This Row],[Tower value]]&lt;=1199,4,IF(heroes[[#This Row],[Tower value]]&lt;=2199,5,IF(heroes[[#This Row],[Tower value]]&lt;=3799,6,IF(heroes[[#This Row],[Tower value]]&gt;=3800,7))))))))</f>
        <v>0</v>
      </c>
      <c r="P78" s="154">
        <f>+_xlfn.IFNA(heroes[[#This Row],[Talent Level]]/INDEX(validation.talent[max],MATCH(heroes[[#This Row],[Talent]],validation.talent[talent],0)),-1)</f>
        <v>-1</v>
      </c>
      <c r="Q78" s="261" t="e">
        <f>+VLOOKUP(heroes[[#This Row],[Hero]],validation.heroes[],4,FALSE)</f>
        <v>#N/A</v>
      </c>
    </row>
    <row r="79" spans="1:18" s="245" customFormat="1" x14ac:dyDescent="0.2">
      <c r="A79" s="246" t="str">
        <f>+COUNTA(heroes[Hero])&amp;"/63 ("&amp;TEXT(SUM(COUNTA(heroes[Hero])/63),"0%")&amp;")"</f>
        <v>58/63 (92%)</v>
      </c>
      <c r="B79" s="247"/>
      <c r="C79" s="248">
        <f>+AVERAGE(heroes[Level])</f>
        <v>142.06896551724137</v>
      </c>
      <c r="D79" s="240"/>
      <c r="E79" s="241">
        <f>+AVERAGE(heroes[Skill Level])</f>
        <v>5.4655172413793105</v>
      </c>
      <c r="F79" s="240"/>
      <c r="G79" s="242">
        <f>+AVERAGE(heroes[Talent Level])</f>
        <v>4.6379310344827589</v>
      </c>
      <c r="H79" s="242">
        <f>+AVERAGE(heroes[Inscr.])</f>
        <v>75.551724137931032</v>
      </c>
      <c r="I79" s="240"/>
      <c r="J79" s="249">
        <f>+AVERAGE(heroes[Crest Level])</f>
        <v>3.1666666666666665</v>
      </c>
      <c r="K79" s="242"/>
      <c r="L79" s="243">
        <f>+SUM(heroes[Evo Cost (Fame)])</f>
        <v>182000</v>
      </c>
      <c r="M79" s="243">
        <f>+SUM(heroes[Evo Cost (Shard)])</f>
        <v>600000</v>
      </c>
      <c r="N79" s="243"/>
      <c r="O79" s="243"/>
      <c r="P79" s="244"/>
      <c r="Q79" s="260"/>
    </row>
    <row r="81" spans="1:2" x14ac:dyDescent="0.2">
      <c r="A81" s="254">
        <v>1</v>
      </c>
      <c r="B81" s="254">
        <v>1</v>
      </c>
    </row>
    <row r="82" spans="1:2" x14ac:dyDescent="0.2">
      <c r="A82" s="254">
        <v>2</v>
      </c>
      <c r="B82" s="254">
        <v>36</v>
      </c>
    </row>
    <row r="83" spans="1:2" x14ac:dyDescent="0.2">
      <c r="A83" s="254">
        <v>3</v>
      </c>
      <c r="B83" s="254">
        <v>90</v>
      </c>
    </row>
    <row r="84" spans="1:2" x14ac:dyDescent="0.2">
      <c r="A84" s="254">
        <v>4</v>
      </c>
      <c r="B84" s="254">
        <v>183</v>
      </c>
    </row>
    <row r="85" spans="1:2" x14ac:dyDescent="0.2">
      <c r="A85" s="254">
        <v>5</v>
      </c>
      <c r="B85" s="254">
        <v>356</v>
      </c>
    </row>
    <row r="86" spans="1:2" x14ac:dyDescent="0.2">
      <c r="A86" s="254">
        <v>6</v>
      </c>
      <c r="B86" s="254">
        <v>629</v>
      </c>
    </row>
    <row r="87" spans="1:2" x14ac:dyDescent="0.2">
      <c r="A87" s="254">
        <v>7</v>
      </c>
      <c r="B87" s="254">
        <v>1060</v>
      </c>
    </row>
    <row r="88" spans="1:2" x14ac:dyDescent="0.2">
      <c r="A88" s="254">
        <v>8</v>
      </c>
      <c r="B88" s="254">
        <v>2095</v>
      </c>
    </row>
    <row r="89" spans="1:2" x14ac:dyDescent="0.2">
      <c r="A89" s="254">
        <v>9</v>
      </c>
      <c r="B89" s="254">
        <v>3728</v>
      </c>
    </row>
    <row r="90" spans="1:2" x14ac:dyDescent="0.2">
      <c r="A90" s="254">
        <v>10</v>
      </c>
      <c r="B90" s="254">
        <v>3728</v>
      </c>
    </row>
  </sheetData>
  <sheetProtection sort="0"/>
  <protectedRanges>
    <protectedRange sqref="A2:A78 C2:O78" name="unprotected.heroes"/>
  </protectedRanges>
  <conditionalFormatting sqref="B2:B78">
    <cfRule type="containsText" dxfId="66" priority="41" operator="containsText" text="3 - Ordinary">
      <formula>NOT(ISERROR(SEARCH("3 - Ordinary",B2)))</formula>
    </cfRule>
    <cfRule type="containsText" dxfId="65" priority="42" operator="containsText" text="2 - Elite">
      <formula>NOT(ISERROR(SEARCH("2 - Elite",B2)))</formula>
    </cfRule>
    <cfRule type="beginsWith" dxfId="64" priority="43" operator="beginsWith" text="1 - Legend">
      <formula>LEFT(B2,LEN("1 - Legend"))="1 - Legend"</formula>
    </cfRule>
  </conditionalFormatting>
  <conditionalFormatting sqref="C2:C78">
    <cfRule type="colorScale" priority="36">
      <colorScale>
        <cfvo type="num" val="1"/>
        <cfvo type="percentile" val="50"/>
        <cfvo type="num" val="200"/>
        <color rgb="FFF8696B"/>
        <color rgb="FFFFEB84"/>
        <color rgb="FF63BE7B"/>
      </colorScale>
    </cfRule>
  </conditionalFormatting>
  <conditionalFormatting sqref="E2:E78">
    <cfRule type="colorScale" priority="35">
      <colorScale>
        <cfvo type="num" val="1"/>
        <cfvo type="percentile" val="50"/>
        <cfvo type="num" val="10"/>
        <color rgb="FFF8696B"/>
        <color rgb="FFFFEB84"/>
        <color rgb="FF63BE7B"/>
      </colorScale>
    </cfRule>
  </conditionalFormatting>
  <conditionalFormatting sqref="J2:K78">
    <cfRule type="colorScale" priority="34">
      <colorScale>
        <cfvo type="num" val="1"/>
        <cfvo type="percentile" val="50"/>
        <cfvo type="num" val="5"/>
        <color rgb="FFF8696B"/>
        <color rgb="FFFFEB84"/>
        <color rgb="FF63BE7B"/>
      </colorScale>
    </cfRule>
  </conditionalFormatting>
  <conditionalFormatting sqref="H2:H78">
    <cfRule type="colorScale" priority="32">
      <colorScale>
        <cfvo type="num" val="0"/>
        <cfvo type="percentile" val="50"/>
        <cfvo type="num" val="100"/>
        <color rgb="FFF8696B"/>
        <color rgb="FFFFEB84"/>
        <color rgb="FF63BE7B"/>
      </colorScale>
    </cfRule>
  </conditionalFormatting>
  <conditionalFormatting sqref="G2:G78">
    <cfRule type="expression" dxfId="63" priority="13">
      <formula>P2&gt;1</formula>
    </cfRule>
    <cfRule type="expression" dxfId="62" priority="14">
      <formula>P2=1</formula>
    </cfRule>
    <cfRule type="expression" dxfId="61" priority="15">
      <formula>P2=0.875</formula>
    </cfRule>
    <cfRule type="expression" dxfId="60" priority="16">
      <formula>P2=0.8</formula>
    </cfRule>
    <cfRule type="expression" dxfId="59" priority="19">
      <formula>P2=0.75</formula>
    </cfRule>
    <cfRule type="expression" dxfId="58" priority="20">
      <formula>P2=0.625</formula>
    </cfRule>
    <cfRule type="expression" dxfId="57" priority="21">
      <formula>P2=0.6</formula>
    </cfRule>
    <cfRule type="expression" dxfId="56" priority="22">
      <formula>P2=0.5</formula>
    </cfRule>
    <cfRule type="expression" dxfId="55" priority="23">
      <formula>P2=0.4</formula>
    </cfRule>
    <cfRule type="expression" dxfId="54" priority="24">
      <formula>P2=0.375</formula>
    </cfRule>
    <cfRule type="expression" dxfId="53" priority="25">
      <formula>P2=0.25</formula>
    </cfRule>
    <cfRule type="expression" dxfId="52" priority="26">
      <formula>P2=0.2</formula>
    </cfRule>
    <cfRule type="expression" dxfId="51" priority="27">
      <formula>P2=0.125</formula>
    </cfRule>
  </conditionalFormatting>
  <conditionalFormatting sqref="P2:Q78">
    <cfRule type="beginsWith" dxfId="50" priority="10" operator="beginsWith" text="3 - Ordinary">
      <formula>LEFT(P2,LEN("3 - Ordinary"))="3 - Ordinary"</formula>
    </cfRule>
    <cfRule type="containsText" dxfId="49" priority="11" operator="containsText" text="2 - Elite">
      <formula>NOT(ISERROR(SEARCH("2 - Elite",P2)))</formula>
    </cfRule>
    <cfRule type="beginsWith" dxfId="48" priority="12" operator="beginsWith" text="1 - Legend">
      <formula>LEFT(P2,LEN("1 - Legend"))="1 - Legend"</formula>
    </cfRule>
  </conditionalFormatting>
  <conditionalFormatting sqref="I2:I78">
    <cfRule type="containsText" dxfId="47" priority="8" operator="containsText" text="storage">
      <formula>NOT(ISERROR(SEARCH("storage",I2)))</formula>
    </cfRule>
  </conditionalFormatting>
  <conditionalFormatting sqref="L2:L78">
    <cfRule type="cellIs" dxfId="46" priority="6" operator="equal">
      <formula>6000</formula>
    </cfRule>
    <cfRule type="cellIs" dxfId="45" priority="7" operator="equal">
      <formula>5000</formula>
    </cfRule>
  </conditionalFormatting>
  <conditionalFormatting sqref="M2:O78">
    <cfRule type="cellIs" dxfId="44" priority="2" operator="equal">
      <formula>80000</formula>
    </cfRule>
    <cfRule type="cellIs" dxfId="43" priority="3" operator="equal">
      <formula>60000</formula>
    </cfRule>
    <cfRule type="cellIs" dxfId="42" priority="4" operator="equal">
      <formula>40000</formula>
    </cfRule>
    <cfRule type="cellIs" dxfId="41" priority="5" operator="equal">
      <formula>20000</formula>
    </cfRule>
  </conditionalFormatting>
  <conditionalFormatting sqref="O2:O78">
    <cfRule type="colorScale" priority="1">
      <colorScale>
        <cfvo type="min"/>
        <cfvo type="percentile" val="50"/>
        <cfvo type="max"/>
        <color rgb="FFF8696B"/>
        <color rgb="FFFFEB84"/>
        <color rgb="FF63BE7B"/>
      </colorScale>
    </cfRule>
  </conditionalFormatting>
  <dataValidations count="4">
    <dataValidation type="whole" allowBlank="1" showInputMessage="1" showErrorMessage="1" sqref="E2:E78">
      <formula1>1</formula1>
      <formula2>10</formula2>
    </dataValidation>
    <dataValidation type="whole" allowBlank="1" showInputMessage="1" showErrorMessage="1" sqref="G2:G78">
      <formula1>1</formula1>
      <formula2>8</formula2>
    </dataValidation>
    <dataValidation type="whole" allowBlank="1" showInputMessage="1" showErrorMessage="1" sqref="J2:J78">
      <formula1>1</formula1>
      <formula2>5</formula2>
    </dataValidation>
    <dataValidation type="whole" allowBlank="1" showInputMessage="1" showErrorMessage="1" sqref="C2:C78">
      <formula1>1</formula1>
      <formula2>200</formula2>
    </dataValidation>
  </dataValidations>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containsText" priority="9" operator="containsText" id="{21DBF17A-31B4-4CEA-97DA-7CCE8AD07F68}">
            <xm:f>NOT(ISERROR(SEARCH("4 -",B2)))</xm:f>
            <xm:f>"4 -"</xm:f>
            <x14:dxf>
              <font>
                <color rgb="FFDBDBDB"/>
              </font>
            </x14:dxf>
          </x14:cfRule>
          <xm:sqref>B2:B78</xm:sqref>
        </x14:conditionalFormatting>
        <x14:conditionalFormatting xmlns:xm="http://schemas.microsoft.com/office/excel/2006/main">
          <x14:cfRule type="expression" priority="134" id="{DE410736-95EA-478F-9AA4-081EE62926CA}">
            <xm:f>LEFT(B2,3)=LEFT(validation!$B$4,3)</xm:f>
            <x14:dxf>
              <font>
                <color theme="9"/>
              </font>
            </x14:dxf>
          </x14:cfRule>
          <x14:cfRule type="expression" priority="135" id="{5ABBAFF1-D7E6-4B07-9AA2-E1448287815D}">
            <xm:f>LEFT(B2,3)=LEFT(validation!$B$3,3)</xm:f>
            <x14:dxf>
              <font>
                <color theme="8"/>
              </font>
            </x14:dxf>
          </x14:cfRule>
          <x14:cfRule type="expression" priority="136" id="{9F4F293F-DE98-42C5-AF51-FEBAC39DA134}">
            <xm:f>LEFT(B2,3)=LEFT(validation!$B$2,3)</xm:f>
            <x14:dxf>
              <font>
                <color rgb="FF7030A0"/>
              </font>
            </x14:dxf>
          </x14:cfRule>
          <xm:sqref>A2:A78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14:formula1>
            <xm:f>validation!$A$2:$A$4</xm:f>
          </x14:formula1>
          <xm:sqref>D2:D78</xm:sqref>
        </x14:dataValidation>
        <x14:dataValidation type="list" allowBlank="1" showInputMessage="1" showErrorMessage="1">
          <x14:formula1>
            <xm:f>validation!$C$2:$C$22</xm:f>
          </x14:formula1>
          <xm:sqref>F2:F78</xm:sqref>
        </x14:dataValidation>
        <x14:dataValidation type="list" allowBlank="1" showInputMessage="1" showErrorMessage="1">
          <x14:formula1>
            <xm:f>validation!$E$2:$E$20</xm:f>
          </x14:formula1>
          <xm:sqref>I2:I78</xm:sqref>
        </x14:dataValidation>
        <x14:dataValidation type="list" allowBlank="1" showInputMessage="1" showErrorMessage="1">
          <x14:formula1>
            <xm:f>validation!$G$2:$G$630</xm:f>
          </x14:formula1>
          <xm:sqref>A2:A78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5"/>
  <sheetViews>
    <sheetView workbookViewId="0">
      <selection activeCell="G4" sqref="G4"/>
    </sheetView>
  </sheetViews>
  <sheetFormatPr defaultRowHeight="15" x14ac:dyDescent="0.25"/>
  <cols>
    <col min="1" max="1" width="2.7109375" customWidth="1"/>
    <col min="2" max="2" width="10.140625" bestFit="1" customWidth="1"/>
  </cols>
  <sheetData>
    <row r="2" spans="2:9" x14ac:dyDescent="0.25">
      <c r="B2" t="s">
        <v>261</v>
      </c>
      <c r="C2">
        <v>1</v>
      </c>
      <c r="D2">
        <v>2</v>
      </c>
      <c r="E2">
        <v>3</v>
      </c>
      <c r="F2">
        <v>4</v>
      </c>
      <c r="G2">
        <v>5</v>
      </c>
      <c r="H2">
        <v>6</v>
      </c>
      <c r="I2">
        <v>7</v>
      </c>
    </row>
    <row r="3" spans="2:9" x14ac:dyDescent="0.25">
      <c r="B3" t="s">
        <v>262</v>
      </c>
      <c r="C3">
        <f>+COUNTIFS(heroes[Tower level],Garrisons!C$2,heroes[Class],Garrisons!$B3)</f>
        <v>0</v>
      </c>
      <c r="D3">
        <f>+COUNTIFS(heroes[Tower level],Garrisons!D$2,heroes[Class],Garrisons!$B3)</f>
        <v>2</v>
      </c>
      <c r="E3">
        <f>+COUNTIFS(heroes[Tower level],Garrisons!E$2,heroes[Class],Garrisons!$B3)</f>
        <v>0</v>
      </c>
      <c r="F3">
        <f>+COUNTIFS(heroes[Tower level],Garrisons!F$2,heroes[Class],Garrisons!$B3)</f>
        <v>6</v>
      </c>
      <c r="G3">
        <f>+COUNTIFS(heroes[Tower level],Garrisons!G$2,heroes[Class],Garrisons!$B3)</f>
        <v>0</v>
      </c>
      <c r="H3">
        <f>+COUNTIFS(heroes[Tower level],Garrisons!H$2,heroes[Class],Garrisons!$B3)</f>
        <v>0</v>
      </c>
      <c r="I3">
        <f>+COUNTIFS(heroes[Tower level],Garrisons!I$2,heroes[Class],Garrisons!$B3)</f>
        <v>0</v>
      </c>
    </row>
    <row r="4" spans="2:9" x14ac:dyDescent="0.25">
      <c r="B4" t="s">
        <v>263</v>
      </c>
      <c r="C4">
        <f>+COUNTIFS(heroes[Tower level],Garrisons!C$2,heroes[Class],Garrisons!$B4)</f>
        <v>2</v>
      </c>
      <c r="D4">
        <f>+COUNTIFS(heroes[Tower level],Garrisons!D$2,heroes[Class],Garrisons!$B4)</f>
        <v>1</v>
      </c>
      <c r="E4">
        <f>+COUNTIFS(heroes[Tower level],Garrisons!E$2,heroes[Class],Garrisons!$B4)</f>
        <v>0</v>
      </c>
      <c r="F4">
        <f>+COUNTIFS(heroes[Tower level],Garrisons!F$2,heroes[Class],Garrisons!$B4)</f>
        <v>4</v>
      </c>
      <c r="G4">
        <f>+COUNTIFS(heroes[Tower level],Garrisons!G$2,heroes[Class],Garrisons!$B4)</f>
        <v>2</v>
      </c>
      <c r="H4">
        <f>+COUNTIFS(heroes[Tower level],Garrisons!H$2,heroes[Class],Garrisons!$B4)</f>
        <v>0</v>
      </c>
      <c r="I4">
        <f>+COUNTIFS(heroes[Tower level],Garrisons!I$2,heroes[Class],Garrisons!$B4)</f>
        <v>0</v>
      </c>
    </row>
    <row r="5" spans="2:9" x14ac:dyDescent="0.25">
      <c r="B5" t="s">
        <v>264</v>
      </c>
      <c r="C5">
        <f>+COUNTIFS(heroes[Tower level],Garrisons!C$2,heroes[Class],Garrisons!$B5)</f>
        <v>2</v>
      </c>
      <c r="D5">
        <f>+COUNTIFS(heroes[Tower level],Garrisons!D$2,heroes[Class],Garrisons!$B5)</f>
        <v>4</v>
      </c>
      <c r="E5">
        <f>+COUNTIFS(heroes[Tower level],Garrisons!E$2,heroes[Class],Garrisons!$B5)</f>
        <v>13</v>
      </c>
      <c r="F5">
        <f>+COUNTIFS(heroes[Tower level],Garrisons!F$2,heroes[Class],Garrisons!$B5)</f>
        <v>7</v>
      </c>
      <c r="G5">
        <f>+COUNTIFS(heroes[Tower level],Garrisons!G$2,heroes[Class],Garrisons!$B5)</f>
        <v>7</v>
      </c>
      <c r="H5">
        <f>+COUNTIFS(heroes[Tower level],Garrisons!H$2,heroes[Class],Garrisons!$B5)</f>
        <v>2</v>
      </c>
      <c r="I5">
        <f>+COUNTIFS(heroes[Tower level],Garrisons!I$2,heroes[Class],Garrisons!$B5)</f>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I8" sqref="I8"/>
    </sheetView>
  </sheetViews>
  <sheetFormatPr defaultRowHeight="15" x14ac:dyDescent="0.25"/>
  <cols>
    <col min="1" max="1" width="2.7109375" customWidth="1"/>
    <col min="2" max="2" width="14.7109375" bestFit="1" customWidth="1"/>
    <col min="4" max="4" width="10.140625" bestFit="1" customWidth="1"/>
    <col min="9" max="9" width="13.42578125" bestFit="1" customWidth="1"/>
    <col min="10" max="10" width="13.85546875" bestFit="1" customWidth="1"/>
  </cols>
  <sheetData>
    <row r="2" spans="2:11" x14ac:dyDescent="0.25">
      <c r="B2" t="s">
        <v>221</v>
      </c>
      <c r="C2" t="s">
        <v>101</v>
      </c>
      <c r="D2" t="s">
        <v>246</v>
      </c>
      <c r="E2" t="s">
        <v>250</v>
      </c>
      <c r="F2" t="s">
        <v>251</v>
      </c>
      <c r="G2" t="s">
        <v>222</v>
      </c>
      <c r="I2" t="s">
        <v>253</v>
      </c>
      <c r="J2" s="257">
        <f>+SUM(D3,D4:D8,D15,D17,D18:D23,D30:D35,D42:D47)</f>
        <v>492880000</v>
      </c>
      <c r="K2" t="s">
        <v>254</v>
      </c>
    </row>
    <row r="3" spans="2:11" x14ac:dyDescent="0.25">
      <c r="B3" t="s">
        <v>220</v>
      </c>
      <c r="C3">
        <v>25</v>
      </c>
      <c r="D3" s="257">
        <f>+SUMIFS('buildings-data'!$C$2:$C$300,'buildings-data'!$A$2:$A$300,Buildings!B3,'buildings-data'!$B$2:$B$300,"&gt;"&amp;Buildings!C3)</f>
        <v>0</v>
      </c>
      <c r="E3" s="258">
        <f>+SUMIFS('buildings-data'!$E$2:$E$300,'buildings-data'!$A$2:$A$300,Buildings!B3,'buildings-data'!$B$2:$B$300,"&gt;"&amp;Buildings!C3)/60/24</f>
        <v>0</v>
      </c>
      <c r="F3">
        <f>+SUMIFS('buildings-data'!$F$2:$F$300,'buildings-data'!$A$2:$A$300,Buildings!B3,'buildings-data'!$B$2:$B$300,Buildings!C3)</f>
        <v>1250</v>
      </c>
      <c r="G3">
        <f>+SUMIFS('buildings-data'!$G$2:$G$300,'buildings-data'!$A$2:$A$300,Buildings!B3,'buildings-data'!$B$2:$B$300,Buildings!C3)</f>
        <v>280000</v>
      </c>
      <c r="J3" s="257">
        <f>+SUM(D3:D51)-J2</f>
        <v>352203000</v>
      </c>
      <c r="K3" t="s">
        <v>255</v>
      </c>
    </row>
    <row r="4" spans="2:11" x14ac:dyDescent="0.25">
      <c r="B4" t="s">
        <v>228</v>
      </c>
      <c r="C4">
        <v>21</v>
      </c>
      <c r="D4" s="257">
        <f>+SUMIFS('buildings-data'!$C$2:$C$300,'buildings-data'!$A$2:$A$300,Buildings!B4,'buildings-data'!$B$2:$B$300,"&gt;"&amp;Buildings!C4)</f>
        <v>21800000</v>
      </c>
      <c r="E4" s="258">
        <f>+SUMIFS('buildings-data'!$E$2:$E$300,'buildings-data'!$A$2:$A$300,Buildings!B4,'buildings-data'!$B$2:$B$300,"&gt;"&amp;Buildings!C4)/60/24</f>
        <v>62</v>
      </c>
      <c r="F4">
        <f>+SUMIFS('buildings-data'!$F$2:$F$300,'buildings-data'!$A$2:$A$300,Buildings!B4,'buildings-data'!$B$2:$B$300,Buildings!C4)</f>
        <v>105</v>
      </c>
      <c r="G4">
        <f>+SUMIFS('buildings-data'!$G$2:$G$300,'buildings-data'!$A$2:$A$300,Buildings!B4,'buildings-data'!$B$2:$B$300,Buildings!C4)</f>
        <v>80000</v>
      </c>
    </row>
    <row r="5" spans="2:11" x14ac:dyDescent="0.25">
      <c r="B5" t="s">
        <v>228</v>
      </c>
      <c r="C5">
        <v>21</v>
      </c>
      <c r="D5" s="257">
        <f>+SUMIFS('buildings-data'!$C$2:$C$300,'buildings-data'!$A$2:$A$300,Buildings!B5,'buildings-data'!$B$2:$B$300,"&gt;"&amp;Buildings!C5)</f>
        <v>21800000</v>
      </c>
      <c r="E5" s="258">
        <f>+SUMIFS('buildings-data'!$E$2:$E$300,'buildings-data'!$A$2:$A$300,Buildings!B5,'buildings-data'!$B$2:$B$300,"&gt;"&amp;Buildings!C5)/60/24</f>
        <v>62</v>
      </c>
      <c r="F5">
        <f>+SUMIFS('buildings-data'!$F$2:$F$300,'buildings-data'!$A$2:$A$300,Buildings!B5,'buildings-data'!$B$2:$B$300,Buildings!C5)</f>
        <v>105</v>
      </c>
      <c r="G5">
        <f>+SUMIFS('buildings-data'!$G$2:$G$300,'buildings-data'!$A$2:$A$300,Buildings!B5,'buildings-data'!$B$2:$B$300,Buildings!C5)</f>
        <v>80000</v>
      </c>
      <c r="I5" t="s">
        <v>258</v>
      </c>
    </row>
    <row r="6" spans="2:11" x14ac:dyDescent="0.25">
      <c r="B6" t="s">
        <v>228</v>
      </c>
      <c r="C6">
        <v>21</v>
      </c>
      <c r="D6" s="257">
        <f>+SUMIFS('buildings-data'!$C$2:$C$300,'buildings-data'!$A$2:$A$300,Buildings!B6,'buildings-data'!$B$2:$B$300,"&gt;"&amp;Buildings!C6)</f>
        <v>21800000</v>
      </c>
      <c r="E6" s="258">
        <f>+SUMIFS('buildings-data'!$E$2:$E$300,'buildings-data'!$A$2:$A$300,Buildings!B6,'buildings-data'!$B$2:$B$300,"&gt;"&amp;Buildings!C6)/60/24</f>
        <v>62</v>
      </c>
      <c r="F6">
        <f>+SUMIFS('buildings-data'!$F$2:$F$300,'buildings-data'!$A$2:$A$300,Buildings!B6,'buildings-data'!$B$2:$B$300,Buildings!C6)</f>
        <v>105</v>
      </c>
      <c r="G6">
        <f>+SUMIFS('buildings-data'!$G$2:$G$300,'buildings-data'!$A$2:$A$300,Buildings!B6,'buildings-data'!$B$2:$B$300,Buildings!C6)</f>
        <v>80000</v>
      </c>
      <c r="I6" t="s">
        <v>259</v>
      </c>
      <c r="J6" s="259">
        <f>+SUM(E3:E51)</f>
        <v>4125</v>
      </c>
    </row>
    <row r="7" spans="2:11" x14ac:dyDescent="0.25">
      <c r="B7" t="s">
        <v>228</v>
      </c>
      <c r="C7">
        <v>21</v>
      </c>
      <c r="D7" s="257">
        <f>+SUMIFS('buildings-data'!$C$2:$C$300,'buildings-data'!$A$2:$A$300,Buildings!B7,'buildings-data'!$B$2:$B$300,"&gt;"&amp;Buildings!C7)</f>
        <v>21800000</v>
      </c>
      <c r="E7" s="258">
        <f>+SUMIFS('buildings-data'!$E$2:$E$300,'buildings-data'!$A$2:$A$300,Buildings!B7,'buildings-data'!$B$2:$B$300,"&gt;"&amp;Buildings!C7)/60/24</f>
        <v>62</v>
      </c>
      <c r="F7">
        <f>+SUMIFS('buildings-data'!$F$2:$F$300,'buildings-data'!$A$2:$A$300,Buildings!B7,'buildings-data'!$B$2:$B$300,Buildings!C7)</f>
        <v>105</v>
      </c>
      <c r="G7">
        <f>+SUMIFS('buildings-data'!$G$2:$G$300,'buildings-data'!$A$2:$A$300,Buildings!B7,'buildings-data'!$B$2:$B$300,Buildings!C7)</f>
        <v>80000</v>
      </c>
      <c r="I7" t="s">
        <v>260</v>
      </c>
      <c r="J7" s="259">
        <f>+J6/5</f>
        <v>825</v>
      </c>
    </row>
    <row r="8" spans="2:11" x14ac:dyDescent="0.25">
      <c r="B8" t="s">
        <v>228</v>
      </c>
      <c r="C8">
        <v>17</v>
      </c>
      <c r="D8" s="257">
        <f>+SUMIFS('buildings-data'!$C$2:$C$300,'buildings-data'!$A$2:$A$300,Buildings!B8,'buildings-data'!$B$2:$B$300,"&gt;"&amp;Buildings!C8)</f>
        <v>34900000</v>
      </c>
      <c r="E8" s="258">
        <f>+SUMIFS('buildings-data'!$E$2:$E$300,'buildings-data'!$A$2:$A$300,Buildings!B8,'buildings-data'!$B$2:$B$300,"&gt;"&amp;Buildings!C8)/60/24</f>
        <v>105</v>
      </c>
      <c r="F8">
        <f>+SUMIFS('buildings-data'!$F$2:$F$300,'buildings-data'!$A$2:$A$300,Buildings!B8,'buildings-data'!$B$2:$B$300,Buildings!C8)</f>
        <v>85</v>
      </c>
      <c r="G8">
        <f>+SUMIFS('buildings-data'!$G$2:$G$300,'buildings-data'!$A$2:$A$300,Buildings!B8,'buildings-data'!$B$2:$B$300,Buildings!C8)</f>
        <v>38500</v>
      </c>
    </row>
    <row r="9" spans="2:11" x14ac:dyDescent="0.25">
      <c r="B9" t="s">
        <v>229</v>
      </c>
      <c r="C9">
        <v>22</v>
      </c>
      <c r="D9" s="257">
        <f>+SUMIFS('buildings-data'!$C$2:$C$300,'buildings-data'!$A$2:$A$300,Buildings!B9,'buildings-data'!$B$2:$B$300,"&gt;"&amp;Buildings!C9)</f>
        <v>17100000</v>
      </c>
      <c r="E9" s="258">
        <f>+SUMIFS('buildings-data'!$E$2:$E$300,'buildings-data'!$A$2:$A$300,Buildings!B9,'buildings-data'!$B$2:$B$300,"&gt;"&amp;Buildings!C9)/60/24</f>
        <v>48</v>
      </c>
      <c r="F9">
        <f>+SUMIFS('buildings-data'!$F$2:$F$300,'buildings-data'!$A$2:$A$300,Buildings!B9,'buildings-data'!$B$2:$B$300,Buildings!C9)</f>
        <v>22</v>
      </c>
      <c r="G9">
        <f>+SUMIFS('buildings-data'!$G$2:$G$300,'buildings-data'!$A$2:$A$300,Buildings!B9,'buildings-data'!$B$2:$B$300,Buildings!C9)</f>
        <v>80000</v>
      </c>
      <c r="I9" t="s">
        <v>256</v>
      </c>
      <c r="J9" s="255">
        <f>+SUM(F3:F51)</f>
        <v>4048</v>
      </c>
    </row>
    <row r="10" spans="2:11" x14ac:dyDescent="0.25">
      <c r="B10" t="s">
        <v>229</v>
      </c>
      <c r="C10">
        <v>22</v>
      </c>
      <c r="D10" s="257">
        <f>+SUMIFS('buildings-data'!$C$2:$C$300,'buildings-data'!$A$2:$A$300,Buildings!B10,'buildings-data'!$B$2:$B$300,"&gt;"&amp;Buildings!C10)</f>
        <v>17100000</v>
      </c>
      <c r="E10" s="258">
        <f>+SUMIFS('buildings-data'!$E$2:$E$300,'buildings-data'!$A$2:$A$300,Buildings!B10,'buildings-data'!$B$2:$B$300,"&gt;"&amp;Buildings!C10)/60/24</f>
        <v>48</v>
      </c>
      <c r="F10">
        <f>+SUMIFS('buildings-data'!$F$2:$F$300,'buildings-data'!$A$2:$A$300,Buildings!B10,'buildings-data'!$B$2:$B$300,Buildings!C10)</f>
        <v>22</v>
      </c>
      <c r="G10">
        <f>+SUMIFS('buildings-data'!$G$2:$G$300,'buildings-data'!$A$2:$A$300,Buildings!B10,'buildings-data'!$B$2:$B$300,Buildings!C10)</f>
        <v>80000</v>
      </c>
      <c r="I10" t="s">
        <v>257</v>
      </c>
      <c r="J10" s="255">
        <f>+SUM(G3:G51)</f>
        <v>2412500</v>
      </c>
    </row>
    <row r="11" spans="2:11" x14ac:dyDescent="0.25">
      <c r="B11" t="s">
        <v>229</v>
      </c>
      <c r="C11">
        <v>22</v>
      </c>
      <c r="D11" s="257">
        <f>+SUMIFS('buildings-data'!$C$2:$C$300,'buildings-data'!$A$2:$A$300,Buildings!B11,'buildings-data'!$B$2:$B$300,"&gt;"&amp;Buildings!C11)</f>
        <v>17100000</v>
      </c>
      <c r="E11" s="258">
        <f>+SUMIFS('buildings-data'!$E$2:$E$300,'buildings-data'!$A$2:$A$300,Buildings!B11,'buildings-data'!$B$2:$B$300,"&gt;"&amp;Buildings!C11)/60/24</f>
        <v>48</v>
      </c>
      <c r="F11">
        <f>+SUMIFS('buildings-data'!$F$2:$F$300,'buildings-data'!$A$2:$A$300,Buildings!B11,'buildings-data'!$B$2:$B$300,Buildings!C11)</f>
        <v>22</v>
      </c>
      <c r="G11">
        <f>+SUMIFS('buildings-data'!$G$2:$G$300,'buildings-data'!$A$2:$A$300,Buildings!B11,'buildings-data'!$B$2:$B$300,Buildings!C11)</f>
        <v>80000</v>
      </c>
    </row>
    <row r="12" spans="2:11" x14ac:dyDescent="0.25">
      <c r="B12" t="s">
        <v>229</v>
      </c>
      <c r="C12">
        <v>22</v>
      </c>
      <c r="D12" s="257">
        <f>+SUMIFS('buildings-data'!$C$2:$C$300,'buildings-data'!$A$2:$A$300,Buildings!B12,'buildings-data'!$B$2:$B$300,"&gt;"&amp;Buildings!C12)</f>
        <v>17100000</v>
      </c>
      <c r="E12" s="258">
        <f>+SUMIFS('buildings-data'!$E$2:$E$300,'buildings-data'!$A$2:$A$300,Buildings!B12,'buildings-data'!$B$2:$B$300,"&gt;"&amp;Buildings!C12)/60/24</f>
        <v>48</v>
      </c>
      <c r="F12">
        <f>+SUMIFS('buildings-data'!$F$2:$F$300,'buildings-data'!$A$2:$A$300,Buildings!B12,'buildings-data'!$B$2:$B$300,Buildings!C12)</f>
        <v>22</v>
      </c>
      <c r="G12">
        <f>+SUMIFS('buildings-data'!$G$2:$G$300,'buildings-data'!$A$2:$A$300,Buildings!B12,'buildings-data'!$B$2:$B$300,Buildings!C12)</f>
        <v>80000</v>
      </c>
      <c r="I12" t="s">
        <v>252</v>
      </c>
      <c r="J12" t="s">
        <v>236</v>
      </c>
    </row>
    <row r="13" spans="2:11" x14ac:dyDescent="0.25">
      <c r="B13" t="s">
        <v>229</v>
      </c>
      <c r="C13">
        <v>22</v>
      </c>
      <c r="D13" s="257">
        <f>+SUMIFS('buildings-data'!$C$2:$C$300,'buildings-data'!$A$2:$A$300,Buildings!B13,'buildings-data'!$B$2:$B$300,"&gt;"&amp;Buildings!C13)</f>
        <v>17100000</v>
      </c>
      <c r="E13" s="258">
        <f>+SUMIFS('buildings-data'!$E$2:$E$300,'buildings-data'!$A$2:$A$300,Buildings!B13,'buildings-data'!$B$2:$B$300,"&gt;"&amp;Buildings!C13)/60/24</f>
        <v>48</v>
      </c>
      <c r="F13">
        <f>+SUMIFS('buildings-data'!$F$2:$F$300,'buildings-data'!$A$2:$A$300,Buildings!B13,'buildings-data'!$B$2:$B$300,Buildings!C13)</f>
        <v>22</v>
      </c>
      <c r="G13">
        <f>+SUMIFS('buildings-data'!$G$2:$G$300,'buildings-data'!$A$2:$A$300,Buildings!B13,'buildings-data'!$B$2:$B$300,Buildings!C13)</f>
        <v>80000</v>
      </c>
    </row>
    <row r="14" spans="2:11" x14ac:dyDescent="0.25">
      <c r="B14" t="s">
        <v>229</v>
      </c>
      <c r="C14">
        <v>20</v>
      </c>
      <c r="D14" s="257">
        <f>+SUMIFS('buildings-data'!$C$2:$C$300,'buildings-data'!$A$2:$A$300,Buildings!B14,'buildings-data'!$B$2:$B$300,"&gt;"&amp;Buildings!C14)</f>
        <v>25900000</v>
      </c>
      <c r="E14" s="258">
        <f>+SUMIFS('buildings-data'!$E$2:$E$300,'buildings-data'!$A$2:$A$300,Buildings!B14,'buildings-data'!$B$2:$B$300,"&gt;"&amp;Buildings!C14)/60/24</f>
        <v>75</v>
      </c>
      <c r="F14">
        <f>+SUMIFS('buildings-data'!$F$2:$F$300,'buildings-data'!$A$2:$A$300,Buildings!B14,'buildings-data'!$B$2:$B$300,Buildings!C14)</f>
        <v>20</v>
      </c>
      <c r="G14">
        <f>+SUMIFS('buildings-data'!$G$2:$G$300,'buildings-data'!$A$2:$A$300,Buildings!B14,'buildings-data'!$B$2:$B$300,Buildings!C14)</f>
        <v>45000</v>
      </c>
    </row>
    <row r="15" spans="2:11" x14ac:dyDescent="0.25">
      <c r="B15" t="s">
        <v>231</v>
      </c>
      <c r="C15">
        <v>13</v>
      </c>
      <c r="D15" s="257">
        <f>+SUMIFS('buildings-data'!$C$2:$C$300,'buildings-data'!$A$2:$A$300,Buildings!B15,'buildings-data'!$B$2:$B$300,"&gt;"&amp;Buildings!C15)</f>
        <v>25460000</v>
      </c>
      <c r="E15" s="258">
        <f>+SUMIFS('buildings-data'!$E$2:$E$300,'buildings-data'!$A$2:$A$300,Buildings!B15,'buildings-data'!$B$2:$B$300,"&gt;"&amp;Buildings!C15)/60/24</f>
        <v>110</v>
      </c>
      <c r="F15">
        <f>+SUMIFS('buildings-data'!$F$2:$F$300,'buildings-data'!$A$2:$A$300,Buildings!B15,'buildings-data'!$B$2:$B$300,Buildings!C15)</f>
        <v>130</v>
      </c>
      <c r="G15">
        <f>+SUMIFS('buildings-data'!$G$2:$G$300,'buildings-data'!$A$2:$A$300,Buildings!B15,'buildings-data'!$B$2:$B$300,Buildings!C15)</f>
        <v>21500</v>
      </c>
    </row>
    <row r="16" spans="2:11" x14ac:dyDescent="0.25">
      <c r="B16" t="s">
        <v>232</v>
      </c>
      <c r="C16">
        <v>13</v>
      </c>
      <c r="D16" s="257">
        <f>+SUMIFS('buildings-data'!$C$2:$C$300,'buildings-data'!$A$2:$A$300,Buildings!B16,'buildings-data'!$B$2:$B$300,"&gt;"&amp;Buildings!C16)</f>
        <v>6153000</v>
      </c>
      <c r="E16" s="258">
        <f>+SUMIFS('buildings-data'!$E$2:$E$300,'buildings-data'!$A$2:$A$300,Buildings!B16,'buildings-data'!$B$2:$B$300,"&gt;"&amp;Buildings!C16)/60/24</f>
        <v>52</v>
      </c>
      <c r="F16">
        <f>+SUMIFS('buildings-data'!$F$2:$F$300,'buildings-data'!$A$2:$A$300,Buildings!B16,'buildings-data'!$B$2:$B$300,Buildings!C16)</f>
        <v>130</v>
      </c>
      <c r="G16">
        <f>+SUMIFS('buildings-data'!$G$2:$G$300,'buildings-data'!$A$2:$A$300,Buildings!B16,'buildings-data'!$B$2:$B$300,Buildings!C16)</f>
        <v>21500</v>
      </c>
    </row>
    <row r="17" spans="2:7" x14ac:dyDescent="0.25">
      <c r="B17" t="s">
        <v>233</v>
      </c>
      <c r="C17">
        <v>20</v>
      </c>
      <c r="D17" s="257">
        <f>+SUMIFS('buildings-data'!$C$2:$C$300,'buildings-data'!$A$2:$A$300,Buildings!B17,'buildings-data'!$B$2:$B$300,"&gt;"&amp;Buildings!C17)</f>
        <v>4100000</v>
      </c>
      <c r="E17" s="258">
        <f>+SUMIFS('buildings-data'!$E$2:$E$300,'buildings-data'!$A$2:$A$300,Buildings!B17,'buildings-data'!$B$2:$B$300,"&gt;"&amp;Buildings!C17)/60/24</f>
        <v>13</v>
      </c>
      <c r="F17">
        <f>+SUMIFS('buildings-data'!$F$2:$F$300,'buildings-data'!$A$2:$A$300,Buildings!B17,'buildings-data'!$B$2:$B$300,Buildings!C17)</f>
        <v>100</v>
      </c>
      <c r="G17">
        <f>+SUMIFS('buildings-data'!$G$2:$G$300,'buildings-data'!$A$2:$A$300,Buildings!B17,'buildings-data'!$B$2:$B$300,Buildings!C17)</f>
        <v>45000</v>
      </c>
    </row>
    <row r="18" spans="2:7" x14ac:dyDescent="0.25">
      <c r="B18" t="str">
        <f>+$J$12</f>
        <v>Magic Tower</v>
      </c>
      <c r="C18">
        <v>9</v>
      </c>
      <c r="D18" s="257">
        <f>+SUMIFS('buildings-data'!$C$2:$C$300,'buildings-data'!$A$2:$A$300,Buildings!B18,'buildings-data'!$B$2:$B$300,"&gt;"&amp;Buildings!C18)</f>
        <v>15900000</v>
      </c>
      <c r="E18" s="258">
        <f>+SUMIFS('buildings-data'!$E$2:$E$300,'buildings-data'!$A$2:$A$300,Buildings!B18,'buildings-data'!$B$2:$B$300,"&gt;"&amp;Buildings!C18)/60/24</f>
        <v>156</v>
      </c>
      <c r="F18">
        <f>+SUMIFS('buildings-data'!$F$2:$F$300,'buildings-data'!$A$2:$A$300,Buildings!B18,'buildings-data'!$B$2:$B$300,Buildings!C18)</f>
        <v>90</v>
      </c>
      <c r="G18">
        <f>+SUMIFS('buildings-data'!$G$2:$G$300,'buildings-data'!$A$2:$A$300,Buildings!B18,'buildings-data'!$B$2:$B$300,Buildings!C18)</f>
        <v>25000</v>
      </c>
    </row>
    <row r="19" spans="2:7" x14ac:dyDescent="0.25">
      <c r="B19" t="str">
        <f t="shared" ref="B19:B23" si="0">+$J$12</f>
        <v>Magic Tower</v>
      </c>
      <c r="C19">
        <v>9</v>
      </c>
      <c r="D19" s="257">
        <f>+SUMIFS('buildings-data'!$C$2:$C$300,'buildings-data'!$A$2:$A$300,Buildings!B19,'buildings-data'!$B$2:$B$300,"&gt;"&amp;Buildings!C19)</f>
        <v>15900000</v>
      </c>
      <c r="E19" s="258">
        <f>+SUMIFS('buildings-data'!$E$2:$E$300,'buildings-data'!$A$2:$A$300,Buildings!B19,'buildings-data'!$B$2:$B$300,"&gt;"&amp;Buildings!C19)/60/24</f>
        <v>156</v>
      </c>
      <c r="F19">
        <f>+SUMIFS('buildings-data'!$F$2:$F$300,'buildings-data'!$A$2:$A$300,Buildings!B19,'buildings-data'!$B$2:$B$300,Buildings!C19)</f>
        <v>90</v>
      </c>
      <c r="G19">
        <f>+SUMIFS('buildings-data'!$G$2:$G$300,'buildings-data'!$A$2:$A$300,Buildings!B19,'buildings-data'!$B$2:$B$300,Buildings!C19)</f>
        <v>25000</v>
      </c>
    </row>
    <row r="20" spans="2:7" x14ac:dyDescent="0.25">
      <c r="B20" t="str">
        <f t="shared" si="0"/>
        <v>Magic Tower</v>
      </c>
      <c r="C20">
        <v>9</v>
      </c>
      <c r="D20" s="257">
        <f>+SUMIFS('buildings-data'!$C$2:$C$300,'buildings-data'!$A$2:$A$300,Buildings!B20,'buildings-data'!$B$2:$B$300,"&gt;"&amp;Buildings!C20)</f>
        <v>15900000</v>
      </c>
      <c r="E20" s="258">
        <f>+SUMIFS('buildings-data'!$E$2:$E$300,'buildings-data'!$A$2:$A$300,Buildings!B20,'buildings-data'!$B$2:$B$300,"&gt;"&amp;Buildings!C20)/60/24</f>
        <v>156</v>
      </c>
      <c r="F20">
        <f>+SUMIFS('buildings-data'!$F$2:$F$300,'buildings-data'!$A$2:$A$300,Buildings!B20,'buildings-data'!$B$2:$B$300,Buildings!C20)</f>
        <v>90</v>
      </c>
      <c r="G20">
        <f>+SUMIFS('buildings-data'!$G$2:$G$300,'buildings-data'!$A$2:$A$300,Buildings!B20,'buildings-data'!$B$2:$B$300,Buildings!C20)</f>
        <v>25000</v>
      </c>
    </row>
    <row r="21" spans="2:7" x14ac:dyDescent="0.25">
      <c r="B21" t="str">
        <f t="shared" si="0"/>
        <v>Magic Tower</v>
      </c>
      <c r="C21">
        <v>9</v>
      </c>
      <c r="D21" s="257">
        <f>+SUMIFS('buildings-data'!$C$2:$C$300,'buildings-data'!$A$2:$A$300,Buildings!B21,'buildings-data'!$B$2:$B$300,"&gt;"&amp;Buildings!C21)</f>
        <v>15900000</v>
      </c>
      <c r="E21" s="258">
        <f>+SUMIFS('buildings-data'!$E$2:$E$300,'buildings-data'!$A$2:$A$300,Buildings!B21,'buildings-data'!$B$2:$B$300,"&gt;"&amp;Buildings!C21)/60/24</f>
        <v>156</v>
      </c>
      <c r="F21">
        <f>+SUMIFS('buildings-data'!$F$2:$F$300,'buildings-data'!$A$2:$A$300,Buildings!B21,'buildings-data'!$B$2:$B$300,Buildings!C21)</f>
        <v>90</v>
      </c>
      <c r="G21">
        <f>+SUMIFS('buildings-data'!$G$2:$G$300,'buildings-data'!$A$2:$A$300,Buildings!B21,'buildings-data'!$B$2:$B$300,Buildings!C21)</f>
        <v>25000</v>
      </c>
    </row>
    <row r="22" spans="2:7" x14ac:dyDescent="0.25">
      <c r="B22" t="str">
        <f t="shared" si="0"/>
        <v>Magic Tower</v>
      </c>
      <c r="C22">
        <v>9</v>
      </c>
      <c r="D22" s="257">
        <f>+SUMIFS('buildings-data'!$C$2:$C$300,'buildings-data'!$A$2:$A$300,Buildings!B22,'buildings-data'!$B$2:$B$300,"&gt;"&amp;Buildings!C22)</f>
        <v>15900000</v>
      </c>
      <c r="E22" s="258">
        <f>+SUMIFS('buildings-data'!$E$2:$E$300,'buildings-data'!$A$2:$A$300,Buildings!B22,'buildings-data'!$B$2:$B$300,"&gt;"&amp;Buildings!C22)/60/24</f>
        <v>156</v>
      </c>
      <c r="F22">
        <f>+SUMIFS('buildings-data'!$F$2:$F$300,'buildings-data'!$A$2:$A$300,Buildings!B22,'buildings-data'!$B$2:$B$300,Buildings!C22)</f>
        <v>90</v>
      </c>
      <c r="G22">
        <f>+SUMIFS('buildings-data'!$G$2:$G$300,'buildings-data'!$A$2:$A$300,Buildings!B22,'buildings-data'!$B$2:$B$300,Buildings!C22)</f>
        <v>25000</v>
      </c>
    </row>
    <row r="23" spans="2:7" x14ac:dyDescent="0.25">
      <c r="B23" t="str">
        <f t="shared" si="0"/>
        <v>Magic Tower</v>
      </c>
      <c r="C23">
        <v>9</v>
      </c>
      <c r="D23" s="257">
        <f>+SUMIFS('buildings-data'!$C$2:$C$300,'buildings-data'!$A$2:$A$300,Buildings!B23,'buildings-data'!$B$2:$B$300,"&gt;"&amp;Buildings!C23)</f>
        <v>15900000</v>
      </c>
      <c r="E23" s="258">
        <f>+SUMIFS('buildings-data'!$E$2:$E$300,'buildings-data'!$A$2:$A$300,Buildings!B23,'buildings-data'!$B$2:$B$300,"&gt;"&amp;Buildings!C23)/60/24</f>
        <v>156</v>
      </c>
      <c r="F23">
        <f>+SUMIFS('buildings-data'!$F$2:$F$300,'buildings-data'!$A$2:$A$300,Buildings!B23,'buildings-data'!$B$2:$B$300,Buildings!C23)</f>
        <v>90</v>
      </c>
      <c r="G23">
        <f>+SUMIFS('buildings-data'!$G$2:$G$300,'buildings-data'!$A$2:$A$300,Buildings!B23,'buildings-data'!$B$2:$B$300,Buildings!C23)</f>
        <v>25000</v>
      </c>
    </row>
    <row r="24" spans="2:7" x14ac:dyDescent="0.25">
      <c r="B24" t="s">
        <v>239</v>
      </c>
      <c r="C24">
        <v>16</v>
      </c>
      <c r="D24" s="257">
        <f>+SUMIFS('buildings-data'!$C$2:$C$300,'buildings-data'!$A$2:$A$300,Buildings!B24,'buildings-data'!$B$2:$B$300,"&gt;"&amp;Buildings!C24)</f>
        <v>33010000</v>
      </c>
      <c r="E24" s="258">
        <f>+SUMIFS('buildings-data'!$E$2:$E$300,'buildings-data'!$A$2:$A$300,Buildings!B24,'buildings-data'!$B$2:$B$300,"&gt;"&amp;Buildings!C24)/60/24</f>
        <v>127</v>
      </c>
      <c r="F24">
        <f>+SUMIFS('buildings-data'!$F$2:$F$300,'buildings-data'!$A$2:$A$300,Buildings!B24,'buildings-data'!$B$2:$B$300,Buildings!C24)</f>
        <v>48</v>
      </c>
      <c r="G24">
        <f>+SUMIFS('buildings-data'!$G$2:$G$300,'buildings-data'!$A$2:$A$300,Buildings!B24,'buildings-data'!$B$2:$B$300,Buildings!C24)</f>
        <v>24000</v>
      </c>
    </row>
    <row r="25" spans="2:7" x14ac:dyDescent="0.25">
      <c r="B25" t="s">
        <v>239</v>
      </c>
      <c r="C25">
        <v>16</v>
      </c>
      <c r="D25" s="257">
        <f>+SUMIFS('buildings-data'!$C$2:$C$300,'buildings-data'!$A$2:$A$300,Buildings!B25,'buildings-data'!$B$2:$B$300,"&gt;"&amp;Buildings!C25)</f>
        <v>33010000</v>
      </c>
      <c r="E25" s="258">
        <f>+SUMIFS('buildings-data'!$E$2:$E$300,'buildings-data'!$A$2:$A$300,Buildings!B25,'buildings-data'!$B$2:$B$300,"&gt;"&amp;Buildings!C25)/60/24</f>
        <v>127</v>
      </c>
      <c r="F25">
        <f>+SUMIFS('buildings-data'!$F$2:$F$300,'buildings-data'!$A$2:$A$300,Buildings!B25,'buildings-data'!$B$2:$B$300,Buildings!C25)</f>
        <v>48</v>
      </c>
      <c r="G25">
        <f>+SUMIFS('buildings-data'!$G$2:$G$300,'buildings-data'!$A$2:$A$300,Buildings!B25,'buildings-data'!$B$2:$B$300,Buildings!C25)</f>
        <v>24000</v>
      </c>
    </row>
    <row r="26" spans="2:7" x14ac:dyDescent="0.25">
      <c r="B26" t="s">
        <v>239</v>
      </c>
      <c r="C26">
        <v>16</v>
      </c>
      <c r="D26" s="257">
        <f>+SUMIFS('buildings-data'!$C$2:$C$300,'buildings-data'!$A$2:$A$300,Buildings!B26,'buildings-data'!$B$2:$B$300,"&gt;"&amp;Buildings!C26)</f>
        <v>33010000</v>
      </c>
      <c r="E26" s="258">
        <f>+SUMIFS('buildings-data'!$E$2:$E$300,'buildings-data'!$A$2:$A$300,Buildings!B26,'buildings-data'!$B$2:$B$300,"&gt;"&amp;Buildings!C26)/60/24</f>
        <v>127</v>
      </c>
      <c r="F26">
        <f>+SUMIFS('buildings-data'!$F$2:$F$300,'buildings-data'!$A$2:$A$300,Buildings!B26,'buildings-data'!$B$2:$B$300,Buildings!C26)</f>
        <v>48</v>
      </c>
      <c r="G26">
        <f>+SUMIFS('buildings-data'!$G$2:$G$300,'buildings-data'!$A$2:$A$300,Buildings!B26,'buildings-data'!$B$2:$B$300,Buildings!C26)</f>
        <v>24000</v>
      </c>
    </row>
    <row r="27" spans="2:7" x14ac:dyDescent="0.25">
      <c r="B27" t="s">
        <v>239</v>
      </c>
      <c r="C27">
        <v>16</v>
      </c>
      <c r="D27" s="257">
        <f>+SUMIFS('buildings-data'!$C$2:$C$300,'buildings-data'!$A$2:$A$300,Buildings!B27,'buildings-data'!$B$2:$B$300,"&gt;"&amp;Buildings!C27)</f>
        <v>33010000</v>
      </c>
      <c r="E27" s="258">
        <f>+SUMIFS('buildings-data'!$E$2:$E$300,'buildings-data'!$A$2:$A$300,Buildings!B27,'buildings-data'!$B$2:$B$300,"&gt;"&amp;Buildings!C27)/60/24</f>
        <v>127</v>
      </c>
      <c r="F27">
        <f>+SUMIFS('buildings-data'!$F$2:$F$300,'buildings-data'!$A$2:$A$300,Buildings!B27,'buildings-data'!$B$2:$B$300,Buildings!C27)</f>
        <v>48</v>
      </c>
      <c r="G27">
        <f>+SUMIFS('buildings-data'!$G$2:$G$300,'buildings-data'!$A$2:$A$300,Buildings!B27,'buildings-data'!$B$2:$B$300,Buildings!C27)</f>
        <v>24000</v>
      </c>
    </row>
    <row r="28" spans="2:7" x14ac:dyDescent="0.25">
      <c r="B28" t="s">
        <v>239</v>
      </c>
      <c r="C28">
        <v>13</v>
      </c>
      <c r="D28" s="257">
        <f>+SUMIFS('buildings-data'!$C$2:$C$300,'buildings-data'!$A$2:$A$300,Buildings!B28,'buildings-data'!$B$2:$B$300,"&gt;"&amp;Buildings!C28)</f>
        <v>35890000</v>
      </c>
      <c r="E28" s="258">
        <f>+SUMIFS('buildings-data'!$E$2:$E$300,'buildings-data'!$A$2:$A$300,Buildings!B28,'buildings-data'!$B$2:$B$300,"&gt;"&amp;Buildings!C28)/60/24</f>
        <v>142</v>
      </c>
      <c r="F28">
        <f>+SUMIFS('buildings-data'!$F$2:$F$300,'buildings-data'!$A$2:$A$300,Buildings!B28,'buildings-data'!$B$2:$B$300,Buildings!C28)</f>
        <v>39</v>
      </c>
      <c r="G28">
        <f>+SUMIFS('buildings-data'!$G$2:$G$300,'buildings-data'!$A$2:$A$300,Buildings!B28,'buildings-data'!$B$2:$B$300,Buildings!C28)</f>
        <v>15500</v>
      </c>
    </row>
    <row r="29" spans="2:7" x14ac:dyDescent="0.25">
      <c r="B29" t="s">
        <v>239</v>
      </c>
      <c r="C29">
        <v>12</v>
      </c>
      <c r="D29" s="257">
        <f>+SUMIFS('buildings-data'!$C$2:$C$300,'buildings-data'!$A$2:$A$300,Buildings!B29,'buildings-data'!$B$2:$B$300,"&gt;"&amp;Buildings!C29)</f>
        <v>36410000</v>
      </c>
      <c r="E29" s="258">
        <f>+SUMIFS('buildings-data'!$E$2:$E$300,'buildings-data'!$A$2:$A$300,Buildings!B29,'buildings-data'!$B$2:$B$300,"&gt;"&amp;Buildings!C29)/60/24</f>
        <v>145</v>
      </c>
      <c r="F29">
        <f>+SUMIFS('buildings-data'!$F$2:$F$300,'buildings-data'!$A$2:$A$300,Buildings!B29,'buildings-data'!$B$2:$B$300,Buildings!C29)</f>
        <v>36</v>
      </c>
      <c r="G29">
        <f>+SUMIFS('buildings-data'!$G$2:$G$300,'buildings-data'!$A$2:$A$300,Buildings!B29,'buildings-data'!$B$2:$B$300,Buildings!C29)</f>
        <v>13500</v>
      </c>
    </row>
    <row r="30" spans="2:7" x14ac:dyDescent="0.25">
      <c r="B30" t="s">
        <v>238</v>
      </c>
      <c r="C30">
        <v>16</v>
      </c>
      <c r="D30" s="257">
        <f>+SUMIFS('buildings-data'!$C$2:$C$300,'buildings-data'!$A$2:$A$300,Buildings!B30,'buildings-data'!$B$2:$B$300,"&gt;"&amp;Buildings!C30)</f>
        <v>33010000</v>
      </c>
      <c r="E30" s="258">
        <f>+SUMIFS('buildings-data'!$E$2:$E$300,'buildings-data'!$A$2:$A$300,Buildings!B30,'buildings-data'!$B$2:$B$300,"&gt;"&amp;Buildings!C30)/60/24</f>
        <v>127</v>
      </c>
      <c r="F30">
        <f>+SUMIFS('buildings-data'!$F$2:$F$300,'buildings-data'!$A$2:$A$300,Buildings!B30,'buildings-data'!$B$2:$B$300,Buildings!C30)</f>
        <v>48</v>
      </c>
      <c r="G30">
        <f>+SUMIFS('buildings-data'!$G$2:$G$300,'buildings-data'!$A$2:$A$300,Buildings!B30,'buildings-data'!$B$2:$B$300,Buildings!C30)</f>
        <v>24000</v>
      </c>
    </row>
    <row r="31" spans="2:7" x14ac:dyDescent="0.25">
      <c r="B31" t="s">
        <v>238</v>
      </c>
      <c r="C31">
        <v>16</v>
      </c>
      <c r="D31" s="257">
        <f>+SUMIFS('buildings-data'!$C$2:$C$300,'buildings-data'!$A$2:$A$300,Buildings!B31,'buildings-data'!$B$2:$B$300,"&gt;"&amp;Buildings!C31)</f>
        <v>33010000</v>
      </c>
      <c r="E31" s="258">
        <f>+SUMIFS('buildings-data'!$E$2:$E$300,'buildings-data'!$A$2:$A$300,Buildings!B31,'buildings-data'!$B$2:$B$300,"&gt;"&amp;Buildings!C31)/60/24</f>
        <v>127</v>
      </c>
      <c r="F31">
        <f>+SUMIFS('buildings-data'!$F$2:$F$300,'buildings-data'!$A$2:$A$300,Buildings!B31,'buildings-data'!$B$2:$B$300,Buildings!C31)</f>
        <v>48</v>
      </c>
      <c r="G31">
        <f>+SUMIFS('buildings-data'!$G$2:$G$300,'buildings-data'!$A$2:$A$300,Buildings!B31,'buildings-data'!$B$2:$B$300,Buildings!C31)</f>
        <v>24000</v>
      </c>
    </row>
    <row r="32" spans="2:7" x14ac:dyDescent="0.25">
      <c r="B32" t="s">
        <v>238</v>
      </c>
      <c r="C32">
        <v>16</v>
      </c>
      <c r="D32" s="257">
        <f>+SUMIFS('buildings-data'!$C$2:$C$300,'buildings-data'!$A$2:$A$300,Buildings!B32,'buildings-data'!$B$2:$B$300,"&gt;"&amp;Buildings!C32)</f>
        <v>33010000</v>
      </c>
      <c r="E32" s="258">
        <f>+SUMIFS('buildings-data'!$E$2:$E$300,'buildings-data'!$A$2:$A$300,Buildings!B32,'buildings-data'!$B$2:$B$300,"&gt;"&amp;Buildings!C32)/60/24</f>
        <v>127</v>
      </c>
      <c r="F32">
        <f>+SUMIFS('buildings-data'!$F$2:$F$300,'buildings-data'!$A$2:$A$300,Buildings!B32,'buildings-data'!$B$2:$B$300,Buildings!C32)</f>
        <v>48</v>
      </c>
      <c r="G32">
        <f>+SUMIFS('buildings-data'!$G$2:$G$300,'buildings-data'!$A$2:$A$300,Buildings!B32,'buildings-data'!$B$2:$B$300,Buildings!C32)</f>
        <v>24000</v>
      </c>
    </row>
    <row r="33" spans="2:7" x14ac:dyDescent="0.25">
      <c r="B33" t="s">
        <v>238</v>
      </c>
      <c r="C33">
        <v>16</v>
      </c>
      <c r="D33" s="257">
        <f>+SUMIFS('buildings-data'!$C$2:$C$300,'buildings-data'!$A$2:$A$300,Buildings!B33,'buildings-data'!$B$2:$B$300,"&gt;"&amp;Buildings!C33)</f>
        <v>33010000</v>
      </c>
      <c r="E33" s="258">
        <f>+SUMIFS('buildings-data'!$E$2:$E$300,'buildings-data'!$A$2:$A$300,Buildings!B33,'buildings-data'!$B$2:$B$300,"&gt;"&amp;Buildings!C33)/60/24</f>
        <v>127</v>
      </c>
      <c r="F33">
        <f>+SUMIFS('buildings-data'!$F$2:$F$300,'buildings-data'!$A$2:$A$300,Buildings!B33,'buildings-data'!$B$2:$B$300,Buildings!C33)</f>
        <v>48</v>
      </c>
      <c r="G33">
        <f>+SUMIFS('buildings-data'!$G$2:$G$300,'buildings-data'!$A$2:$A$300,Buildings!B33,'buildings-data'!$B$2:$B$300,Buildings!C33)</f>
        <v>24000</v>
      </c>
    </row>
    <row r="34" spans="2:7" x14ac:dyDescent="0.25">
      <c r="B34" t="s">
        <v>238</v>
      </c>
      <c r="C34">
        <v>12</v>
      </c>
      <c r="D34" s="257">
        <f>+SUMIFS('buildings-data'!$C$2:$C$300,'buildings-data'!$A$2:$A$300,Buildings!B34,'buildings-data'!$B$2:$B$300,"&gt;"&amp;Buildings!C34)</f>
        <v>36410000</v>
      </c>
      <c r="E34" s="258">
        <f>+SUMIFS('buildings-data'!$E$2:$E$300,'buildings-data'!$A$2:$A$300,Buildings!B34,'buildings-data'!$B$2:$B$300,"&gt;"&amp;Buildings!C34)/60/24</f>
        <v>145</v>
      </c>
      <c r="F34">
        <f>+SUMIFS('buildings-data'!$F$2:$F$300,'buildings-data'!$A$2:$A$300,Buildings!B34,'buildings-data'!$B$2:$B$300,Buildings!C34)</f>
        <v>36</v>
      </c>
      <c r="G34">
        <f>+SUMIFS('buildings-data'!$G$2:$G$300,'buildings-data'!$A$2:$A$300,Buildings!B34,'buildings-data'!$B$2:$B$300,Buildings!C34)</f>
        <v>13500</v>
      </c>
    </row>
    <row r="35" spans="2:7" x14ac:dyDescent="0.25">
      <c r="B35" t="s">
        <v>238</v>
      </c>
      <c r="C35">
        <v>11</v>
      </c>
      <c r="D35" s="257">
        <f>+SUMIFS('buildings-data'!$C$2:$C$300,'buildings-data'!$A$2:$A$300,Buildings!B35,'buildings-data'!$B$2:$B$300,"&gt;"&amp;Buildings!C35)</f>
        <v>36790000</v>
      </c>
      <c r="E35" s="258">
        <f>+SUMIFS('buildings-data'!$E$2:$E$300,'buildings-data'!$A$2:$A$300,Buildings!B35,'buildings-data'!$B$2:$B$300,"&gt;"&amp;Buildings!C35)/60/24</f>
        <v>147</v>
      </c>
      <c r="F35">
        <f>+SUMIFS('buildings-data'!$F$2:$F$300,'buildings-data'!$A$2:$A$300,Buildings!B35,'buildings-data'!$B$2:$B$300,Buildings!C35)</f>
        <v>33</v>
      </c>
      <c r="G35">
        <f>+SUMIFS('buildings-data'!$G$2:$G$300,'buildings-data'!$A$2:$A$300,Buildings!B35,'buildings-data'!$B$2:$B$300,Buildings!C35)</f>
        <v>11500</v>
      </c>
    </row>
    <row r="36" spans="2:7" x14ac:dyDescent="0.25">
      <c r="B36" t="s">
        <v>240</v>
      </c>
      <c r="C36">
        <v>23</v>
      </c>
      <c r="D36" s="257">
        <f>+SUMIFS('buildings-data'!$C$2:$C$300,'buildings-data'!$A$2:$A$300,Buildings!B36,'buildings-data'!$B$2:$B$300,"&gt;"&amp;Buildings!C36)</f>
        <v>1190000</v>
      </c>
      <c r="E36" s="258">
        <f>+SUMIFS('buildings-data'!$E$2:$E$300,'buildings-data'!$A$2:$A$300,Buildings!B36,'buildings-data'!$B$2:$B$300,"&gt;"&amp;Buildings!C36)/60/24</f>
        <v>33</v>
      </c>
      <c r="F36">
        <f>+SUMIFS('buildings-data'!$F$2:$F$300,'buildings-data'!$A$2:$A$300,Buildings!B36,'buildings-data'!$B$2:$B$300,Buildings!C36)</f>
        <v>69</v>
      </c>
      <c r="G36">
        <f>+SUMIFS('buildings-data'!$G$2:$G$300,'buildings-data'!$A$2:$A$300,Buildings!B36,'buildings-data'!$B$2:$B$300,Buildings!C36)</f>
        <v>100000</v>
      </c>
    </row>
    <row r="37" spans="2:7" x14ac:dyDescent="0.25">
      <c r="B37" t="s">
        <v>240</v>
      </c>
      <c r="C37">
        <v>23</v>
      </c>
      <c r="D37" s="257">
        <f>+SUMIFS('buildings-data'!$C$2:$C$300,'buildings-data'!$A$2:$A$300,Buildings!B37,'buildings-data'!$B$2:$B$300,"&gt;"&amp;Buildings!C37)</f>
        <v>1190000</v>
      </c>
      <c r="E37" s="258">
        <f>+SUMIFS('buildings-data'!$E$2:$E$300,'buildings-data'!$A$2:$A$300,Buildings!B37,'buildings-data'!$B$2:$B$300,"&gt;"&amp;Buildings!C37)/60/24</f>
        <v>33</v>
      </c>
      <c r="F37">
        <f>+SUMIFS('buildings-data'!$F$2:$F$300,'buildings-data'!$A$2:$A$300,Buildings!B37,'buildings-data'!$B$2:$B$300,Buildings!C37)</f>
        <v>69</v>
      </c>
      <c r="G37">
        <f>+SUMIFS('buildings-data'!$G$2:$G$300,'buildings-data'!$A$2:$A$300,Buildings!B37,'buildings-data'!$B$2:$B$300,Buildings!C37)</f>
        <v>100000</v>
      </c>
    </row>
    <row r="38" spans="2:7" x14ac:dyDescent="0.25">
      <c r="B38" t="s">
        <v>240</v>
      </c>
      <c r="C38">
        <v>23</v>
      </c>
      <c r="D38" s="257">
        <f>+SUMIFS('buildings-data'!$C$2:$C$300,'buildings-data'!$A$2:$A$300,Buildings!B38,'buildings-data'!$B$2:$B$300,"&gt;"&amp;Buildings!C38)</f>
        <v>1190000</v>
      </c>
      <c r="E38" s="258">
        <f>+SUMIFS('buildings-data'!$E$2:$E$300,'buildings-data'!$A$2:$A$300,Buildings!B38,'buildings-data'!$B$2:$B$300,"&gt;"&amp;Buildings!C38)/60/24</f>
        <v>33</v>
      </c>
      <c r="F38">
        <f>+SUMIFS('buildings-data'!$F$2:$F$300,'buildings-data'!$A$2:$A$300,Buildings!B38,'buildings-data'!$B$2:$B$300,Buildings!C38)</f>
        <v>69</v>
      </c>
      <c r="G38">
        <f>+SUMIFS('buildings-data'!$G$2:$G$300,'buildings-data'!$A$2:$A$300,Buildings!B38,'buildings-data'!$B$2:$B$300,Buildings!C38)</f>
        <v>100000</v>
      </c>
    </row>
    <row r="39" spans="2:7" x14ac:dyDescent="0.25">
      <c r="B39" t="s">
        <v>240</v>
      </c>
      <c r="C39">
        <v>23</v>
      </c>
      <c r="D39" s="257">
        <f>+SUMIFS('buildings-data'!$C$2:$C$300,'buildings-data'!$A$2:$A$300,Buildings!B39,'buildings-data'!$B$2:$B$300,"&gt;"&amp;Buildings!C39)</f>
        <v>1190000</v>
      </c>
      <c r="E39" s="258">
        <f>+SUMIFS('buildings-data'!$E$2:$E$300,'buildings-data'!$A$2:$A$300,Buildings!B39,'buildings-data'!$B$2:$B$300,"&gt;"&amp;Buildings!C39)/60/24</f>
        <v>33</v>
      </c>
      <c r="F39">
        <f>+SUMIFS('buildings-data'!$F$2:$F$300,'buildings-data'!$A$2:$A$300,Buildings!B39,'buildings-data'!$B$2:$B$300,Buildings!C39)</f>
        <v>69</v>
      </c>
      <c r="G39">
        <f>+SUMIFS('buildings-data'!$G$2:$G$300,'buildings-data'!$A$2:$A$300,Buildings!B39,'buildings-data'!$B$2:$B$300,Buildings!C39)</f>
        <v>100000</v>
      </c>
    </row>
    <row r="40" spans="2:7" x14ac:dyDescent="0.25">
      <c r="B40" t="s">
        <v>240</v>
      </c>
      <c r="C40">
        <v>20</v>
      </c>
      <c r="D40" s="257">
        <f>+SUMIFS('buildings-data'!$C$2:$C$300,'buildings-data'!$A$2:$A$300,Buildings!B40,'buildings-data'!$B$2:$B$300,"&gt;"&amp;Buildings!C40)</f>
        <v>6280000</v>
      </c>
      <c r="E40" s="258">
        <f>+SUMIFS('buildings-data'!$E$2:$E$300,'buildings-data'!$A$2:$A$300,Buildings!B40,'buildings-data'!$B$2:$B$300,"&gt;"&amp;Buildings!C40)/60/24</f>
        <v>75</v>
      </c>
      <c r="F40">
        <f>+SUMIFS('buildings-data'!$F$2:$F$300,'buildings-data'!$A$2:$A$300,Buildings!B40,'buildings-data'!$B$2:$B$300,Buildings!C40)</f>
        <v>60</v>
      </c>
      <c r="G40">
        <f>+SUMIFS('buildings-data'!$G$2:$G$300,'buildings-data'!$A$2:$A$300,Buildings!B40,'buildings-data'!$B$2:$B$300,Buildings!C40)</f>
        <v>45000</v>
      </c>
    </row>
    <row r="41" spans="2:7" x14ac:dyDescent="0.25">
      <c r="B41" t="s">
        <v>240</v>
      </c>
      <c r="C41">
        <v>14</v>
      </c>
      <c r="D41" s="257">
        <f>+SUMIFS('buildings-data'!$C$2:$C$300,'buildings-data'!$A$2:$A$300,Buildings!B41,'buildings-data'!$B$2:$B$300,"&gt;"&amp;Buildings!C41)</f>
        <v>19270000</v>
      </c>
      <c r="E41" s="258">
        <f>+SUMIFS('buildings-data'!$E$2:$E$300,'buildings-data'!$A$2:$A$300,Buildings!B41,'buildings-data'!$B$2:$B$300,"&gt;"&amp;Buildings!C41)/60/24</f>
        <v>123</v>
      </c>
      <c r="F41">
        <f>+SUMIFS('buildings-data'!$F$2:$F$300,'buildings-data'!$A$2:$A$300,Buildings!B41,'buildings-data'!$B$2:$B$300,Buildings!C41)</f>
        <v>42</v>
      </c>
      <c r="G41">
        <f>+SUMIFS('buildings-data'!$G$2:$G$300,'buildings-data'!$A$2:$A$300,Buildings!B41,'buildings-data'!$B$2:$B$300,Buildings!C41)</f>
        <v>18000</v>
      </c>
    </row>
    <row r="42" spans="2:7" x14ac:dyDescent="0.25">
      <c r="B42" t="s">
        <v>241</v>
      </c>
      <c r="C42">
        <v>22</v>
      </c>
      <c r="D42" s="257">
        <f>+SUMIFS('buildings-data'!$C$2:$C$300,'buildings-data'!$A$2:$A$300,Buildings!B42,'buildings-data'!$B$2:$B$300,"&gt;"&amp;Buildings!C42)</f>
        <v>1710000</v>
      </c>
      <c r="E42" s="258">
        <f>+SUMIFS('buildings-data'!$E$2:$E$300,'buildings-data'!$A$2:$A$300,Buildings!B42,'buildings-data'!$B$2:$B$300,"&gt;"&amp;Buildings!C42)/60/24</f>
        <v>48</v>
      </c>
      <c r="F42">
        <f>+SUMIFS('buildings-data'!$F$2:$F$300,'buildings-data'!$A$2:$A$300,Buildings!B42,'buildings-data'!$B$2:$B$300,Buildings!C42)</f>
        <v>66</v>
      </c>
      <c r="G42">
        <f>+SUMIFS('buildings-data'!$G$2:$G$300,'buildings-data'!$A$2:$A$300,Buildings!B42,'buildings-data'!$B$2:$B$300,Buildings!C42)</f>
        <v>80000</v>
      </c>
    </row>
    <row r="43" spans="2:7" x14ac:dyDescent="0.25">
      <c r="B43" t="s">
        <v>241</v>
      </c>
      <c r="C43">
        <v>22</v>
      </c>
      <c r="D43" s="257">
        <f>+SUMIFS('buildings-data'!$C$2:$C$300,'buildings-data'!$A$2:$A$300,Buildings!B43,'buildings-data'!$B$2:$B$300,"&gt;"&amp;Buildings!C43)</f>
        <v>1710000</v>
      </c>
      <c r="E43" s="258">
        <f>+SUMIFS('buildings-data'!$E$2:$E$300,'buildings-data'!$A$2:$A$300,Buildings!B43,'buildings-data'!$B$2:$B$300,"&gt;"&amp;Buildings!C43)/60/24</f>
        <v>48</v>
      </c>
      <c r="F43">
        <f>+SUMIFS('buildings-data'!$F$2:$F$300,'buildings-data'!$A$2:$A$300,Buildings!B43,'buildings-data'!$B$2:$B$300,Buildings!C43)</f>
        <v>66</v>
      </c>
      <c r="G43">
        <f>+SUMIFS('buildings-data'!$G$2:$G$300,'buildings-data'!$A$2:$A$300,Buildings!B43,'buildings-data'!$B$2:$B$300,Buildings!C43)</f>
        <v>80000</v>
      </c>
    </row>
    <row r="44" spans="2:7" x14ac:dyDescent="0.25">
      <c r="B44" t="s">
        <v>241</v>
      </c>
      <c r="C44">
        <v>22</v>
      </c>
      <c r="D44" s="257">
        <f>+SUMIFS('buildings-data'!$C$2:$C$300,'buildings-data'!$A$2:$A$300,Buildings!B44,'buildings-data'!$B$2:$B$300,"&gt;"&amp;Buildings!C44)</f>
        <v>1710000</v>
      </c>
      <c r="E44" s="258">
        <f>+SUMIFS('buildings-data'!$E$2:$E$300,'buildings-data'!$A$2:$A$300,Buildings!B44,'buildings-data'!$B$2:$B$300,"&gt;"&amp;Buildings!C44)/60/24</f>
        <v>48</v>
      </c>
      <c r="F44">
        <f>+SUMIFS('buildings-data'!$F$2:$F$300,'buildings-data'!$A$2:$A$300,Buildings!B44,'buildings-data'!$B$2:$B$300,Buildings!C44)</f>
        <v>66</v>
      </c>
      <c r="G44">
        <f>+SUMIFS('buildings-data'!$G$2:$G$300,'buildings-data'!$A$2:$A$300,Buildings!B44,'buildings-data'!$B$2:$B$300,Buildings!C44)</f>
        <v>80000</v>
      </c>
    </row>
    <row r="45" spans="2:7" x14ac:dyDescent="0.25">
      <c r="B45" t="s">
        <v>241</v>
      </c>
      <c r="C45">
        <v>22</v>
      </c>
      <c r="D45" s="257">
        <f>+SUMIFS('buildings-data'!$C$2:$C$300,'buildings-data'!$A$2:$A$300,Buildings!B45,'buildings-data'!$B$2:$B$300,"&gt;"&amp;Buildings!C45)</f>
        <v>1710000</v>
      </c>
      <c r="E45" s="258">
        <f>+SUMIFS('buildings-data'!$E$2:$E$300,'buildings-data'!$A$2:$A$300,Buildings!B45,'buildings-data'!$B$2:$B$300,"&gt;"&amp;Buildings!C45)/60/24</f>
        <v>48</v>
      </c>
      <c r="F45">
        <f>+SUMIFS('buildings-data'!$F$2:$F$300,'buildings-data'!$A$2:$A$300,Buildings!B45,'buildings-data'!$B$2:$B$300,Buildings!C45)</f>
        <v>66</v>
      </c>
      <c r="G45">
        <f>+SUMIFS('buildings-data'!$G$2:$G$300,'buildings-data'!$A$2:$A$300,Buildings!B45,'buildings-data'!$B$2:$B$300,Buildings!C45)</f>
        <v>80000</v>
      </c>
    </row>
    <row r="46" spans="2:7" x14ac:dyDescent="0.25">
      <c r="B46" t="s">
        <v>241</v>
      </c>
      <c r="C46">
        <v>18</v>
      </c>
      <c r="D46" s="257">
        <f>+SUMIFS('buildings-data'!$C$2:$C$300,'buildings-data'!$A$2:$A$300,Buildings!B46,'buildings-data'!$B$2:$B$300,"&gt;"&amp;Buildings!C46)</f>
        <v>12880000</v>
      </c>
      <c r="E46" s="258">
        <f>+SUMIFS('buildings-data'!$E$2:$E$300,'buildings-data'!$A$2:$A$300,Buildings!B46,'buildings-data'!$B$2:$B$300,"&gt;"&amp;Buildings!C46)/60/24</f>
        <v>97</v>
      </c>
      <c r="F46">
        <f>+SUMIFS('buildings-data'!$F$2:$F$300,'buildings-data'!$A$2:$A$300,Buildings!B46,'buildings-data'!$B$2:$B$300,Buildings!C46)</f>
        <v>54</v>
      </c>
      <c r="G46">
        <f>+SUMIFS('buildings-data'!$G$2:$G$300,'buildings-data'!$A$2:$A$300,Buildings!B46,'buildings-data'!$B$2:$B$300,Buildings!C46)</f>
        <v>32500</v>
      </c>
    </row>
    <row r="47" spans="2:7" x14ac:dyDescent="0.25">
      <c r="B47" t="s">
        <v>241</v>
      </c>
      <c r="C47">
        <v>11</v>
      </c>
      <c r="D47" s="257">
        <f>+SUMIFS('buildings-data'!$C$2:$C$300,'buildings-data'!$A$2:$A$300,Buildings!B47,'buildings-data'!$B$2:$B$300,"&gt;"&amp;Buildings!C47)</f>
        <v>20860000</v>
      </c>
      <c r="E47" s="258">
        <f>+SUMIFS('buildings-data'!$E$2:$E$300,'buildings-data'!$A$2:$A$300,Buildings!B47,'buildings-data'!$B$2:$B$300,"&gt;"&amp;Buildings!C47)/60/24</f>
        <v>132</v>
      </c>
      <c r="F47">
        <f>+SUMIFS('buildings-data'!$F$2:$F$300,'buildings-data'!$A$2:$A$300,Buildings!B47,'buildings-data'!$B$2:$B$300,Buildings!C47)</f>
        <v>33</v>
      </c>
      <c r="G47">
        <f>+SUMIFS('buildings-data'!$G$2:$G$300,'buildings-data'!$A$2:$A$300,Buildings!B47,'buildings-data'!$B$2:$B$300,Buildings!C47)</f>
        <v>11500</v>
      </c>
    </row>
    <row r="48" spans="2:7" x14ac:dyDescent="0.25">
      <c r="B48" t="s">
        <v>242</v>
      </c>
      <c r="C48">
        <v>1</v>
      </c>
      <c r="D48" s="257">
        <f>+SUMIFS('buildings-data'!$C$2:$C$300,'buildings-data'!$A$2:$A$300,Buildings!B48,'buildings-data'!$B$2:$B$300,"&gt;"&amp;Buildings!C48)</f>
        <v>0</v>
      </c>
      <c r="E48" s="258">
        <f>+SUMIFS('buildings-data'!$E$2:$E$300,'buildings-data'!$A$2:$A$300,Buildings!B48,'buildings-data'!$B$2:$B$300,"&gt;"&amp;Buildings!C48)/60/24</f>
        <v>0</v>
      </c>
      <c r="F48">
        <f>+SUMIFS('buildings-data'!$F$2:$F$300,'buildings-data'!$A$2:$A$300,Buildings!B48,'buildings-data'!$B$2:$B$300,Buildings!C48)</f>
        <v>1</v>
      </c>
      <c r="G48">
        <f>+SUMIFS('buildings-data'!$G$2:$G$300,'buildings-data'!$A$2:$A$300,Buildings!B48,'buildings-data'!$B$2:$B$300,Buildings!C48)</f>
        <v>5000</v>
      </c>
    </row>
    <row r="49" spans="2:7" x14ac:dyDescent="0.25">
      <c r="B49" t="s">
        <v>243</v>
      </c>
      <c r="C49">
        <v>1</v>
      </c>
      <c r="D49" s="257">
        <f>+SUMIFS('buildings-data'!$C$2:$C$300,'buildings-data'!$A$2:$A$300,Buildings!B49,'buildings-data'!$B$2:$B$300,"&gt;"&amp;Buildings!C49)</f>
        <v>0</v>
      </c>
      <c r="E49" s="258">
        <f>+SUMIFS('buildings-data'!$E$2:$E$300,'buildings-data'!$A$2:$A$300,Buildings!B49,'buildings-data'!$B$2:$B$300,"&gt;"&amp;Buildings!C49)/60/24</f>
        <v>0</v>
      </c>
      <c r="F49">
        <f>+SUMIFS('buildings-data'!$F$2:$F$300,'buildings-data'!$A$2:$A$300,Buildings!B49,'buildings-data'!$B$2:$B$300,Buildings!C49)</f>
        <v>0</v>
      </c>
      <c r="G49">
        <f>+SUMIFS('buildings-data'!$G$2:$G$300,'buildings-data'!$A$2:$A$300,Buildings!B49,'buildings-data'!$B$2:$B$300,Buildings!C49)</f>
        <v>5000</v>
      </c>
    </row>
    <row r="50" spans="2:7" x14ac:dyDescent="0.25">
      <c r="B50" t="s">
        <v>244</v>
      </c>
      <c r="C50">
        <v>1</v>
      </c>
      <c r="D50" s="257">
        <f>+SUMIFS('buildings-data'!$C$2:$C$300,'buildings-data'!$A$2:$A$300,Buildings!B50,'buildings-data'!$B$2:$B$300,"&gt;"&amp;Buildings!C50)</f>
        <v>0</v>
      </c>
      <c r="E50" s="258">
        <f>+SUMIFS('buildings-data'!$E$2:$E$300,'buildings-data'!$A$2:$A$300,Buildings!B50,'buildings-data'!$B$2:$B$300,"&gt;"&amp;Buildings!C50)/60/24</f>
        <v>0</v>
      </c>
      <c r="F50">
        <f>+SUMIFS('buildings-data'!$F$2:$F$300,'buildings-data'!$A$2:$A$300,Buildings!B50,'buildings-data'!$B$2:$B$300,Buildings!C50)</f>
        <v>0</v>
      </c>
      <c r="G50">
        <f>+SUMIFS('buildings-data'!$G$2:$G$300,'buildings-data'!$A$2:$A$300,Buildings!B50,'buildings-data'!$B$2:$B$300,Buildings!C50)</f>
        <v>5000</v>
      </c>
    </row>
    <row r="51" spans="2:7" x14ac:dyDescent="0.25">
      <c r="B51" t="s">
        <v>245</v>
      </c>
      <c r="C51">
        <v>1</v>
      </c>
      <c r="D51" s="257">
        <f>+SUMIFS('buildings-data'!$C$2:$C$300,'buildings-data'!$A$2:$A$300,Buildings!B51,'buildings-data'!$B$2:$B$300,"&gt;"&amp;Buildings!C51)</f>
        <v>0</v>
      </c>
      <c r="E51" s="258">
        <f>+SUMIFS('buildings-data'!$E$2:$E$300,'buildings-data'!$A$2:$A$300,Buildings!B51,'buildings-data'!$B$2:$B$300,"&gt;"&amp;Buildings!C51)/60/24</f>
        <v>0</v>
      </c>
      <c r="F51">
        <f>+SUMIFS('buildings-data'!$F$2:$F$300,'buildings-data'!$A$2:$A$300,Buildings!B51,'buildings-data'!$B$2:$B$300,Buildings!C51)</f>
        <v>5</v>
      </c>
      <c r="G51">
        <f>+SUMIFS('buildings-data'!$G$2:$G$300,'buildings-data'!$A$2:$A$300,Buildings!B51,'buildings-data'!$B$2:$B$300,Buildings!C51)</f>
        <v>3000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'buildings-data'!$I$2:$I$5</xm:f>
          </x14:formula1>
          <xm:sqref>J12</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0"/>
  <sheetViews>
    <sheetView workbookViewId="0">
      <pane ySplit="1" topLeftCell="A104" activePane="bottomLeft" state="frozen"/>
      <selection pane="bottomLeft" activeCell="D116" sqref="D116"/>
    </sheetView>
  </sheetViews>
  <sheetFormatPr defaultRowHeight="15" x14ac:dyDescent="0.25"/>
  <cols>
    <col min="1" max="1" width="14.7109375" bestFit="1" customWidth="1"/>
  </cols>
  <sheetData>
    <row r="1" spans="1:9" x14ac:dyDescent="0.25">
      <c r="A1" t="s">
        <v>223</v>
      </c>
      <c r="B1" t="s">
        <v>224</v>
      </c>
      <c r="C1" t="s">
        <v>225</v>
      </c>
      <c r="D1" t="s">
        <v>247</v>
      </c>
      <c r="E1" t="s">
        <v>226</v>
      </c>
      <c r="F1" t="s">
        <v>227</v>
      </c>
      <c r="G1" t="s">
        <v>230</v>
      </c>
    </row>
    <row r="2" spans="1:9" x14ac:dyDescent="0.25">
      <c r="A2" t="s">
        <v>220</v>
      </c>
      <c r="B2">
        <v>1</v>
      </c>
      <c r="C2">
        <v>0</v>
      </c>
      <c r="D2" t="s">
        <v>248</v>
      </c>
      <c r="E2">
        <v>0</v>
      </c>
      <c r="F2" s="256">
        <v>50</v>
      </c>
      <c r="G2" s="256">
        <v>4500</v>
      </c>
      <c r="I2" t="s">
        <v>234</v>
      </c>
    </row>
    <row r="3" spans="1:9" x14ac:dyDescent="0.25">
      <c r="A3" t="s">
        <v>220</v>
      </c>
      <c r="B3">
        <f>+B2+1</f>
        <v>2</v>
      </c>
      <c r="C3">
        <v>1700</v>
      </c>
      <c r="D3" t="s">
        <v>248</v>
      </c>
      <c r="E3">
        <v>2</v>
      </c>
      <c r="F3" s="256">
        <v>100</v>
      </c>
      <c r="G3" s="255">
        <v>5500</v>
      </c>
      <c r="I3" t="s">
        <v>235</v>
      </c>
    </row>
    <row r="4" spans="1:9" x14ac:dyDescent="0.25">
      <c r="A4" t="s">
        <v>220</v>
      </c>
      <c r="B4">
        <f t="shared" ref="B4:B26" si="0">+B3+1</f>
        <v>3</v>
      </c>
      <c r="C4">
        <v>5000</v>
      </c>
      <c r="D4" t="s">
        <v>248</v>
      </c>
      <c r="E4">
        <v>10</v>
      </c>
      <c r="F4" s="256">
        <v>150</v>
      </c>
      <c r="G4" s="255">
        <v>6500</v>
      </c>
      <c r="I4" t="s">
        <v>236</v>
      </c>
    </row>
    <row r="5" spans="1:9" x14ac:dyDescent="0.25">
      <c r="A5" t="s">
        <v>220</v>
      </c>
      <c r="B5">
        <f t="shared" si="0"/>
        <v>4</v>
      </c>
      <c r="C5">
        <v>10000</v>
      </c>
      <c r="D5" t="s">
        <v>248</v>
      </c>
      <c r="E5">
        <v>30</v>
      </c>
      <c r="F5" s="256">
        <v>200</v>
      </c>
      <c r="G5" s="255">
        <v>7500</v>
      </c>
      <c r="I5" t="s">
        <v>237</v>
      </c>
    </row>
    <row r="6" spans="1:9" x14ac:dyDescent="0.25">
      <c r="A6" t="s">
        <v>220</v>
      </c>
      <c r="B6">
        <f t="shared" si="0"/>
        <v>5</v>
      </c>
      <c r="C6">
        <v>21000</v>
      </c>
      <c r="D6" t="s">
        <v>248</v>
      </c>
      <c r="E6">
        <v>60</v>
      </c>
      <c r="F6" s="256">
        <v>250</v>
      </c>
      <c r="G6" s="255">
        <v>9000</v>
      </c>
    </row>
    <row r="7" spans="1:9" x14ac:dyDescent="0.25">
      <c r="A7" t="s">
        <v>220</v>
      </c>
      <c r="B7">
        <f t="shared" si="0"/>
        <v>6</v>
      </c>
      <c r="C7">
        <v>36000</v>
      </c>
      <c r="D7" t="s">
        <v>248</v>
      </c>
      <c r="E7">
        <v>120</v>
      </c>
      <c r="F7" s="256">
        <v>300</v>
      </c>
      <c r="G7" s="255">
        <v>10500</v>
      </c>
    </row>
    <row r="8" spans="1:9" x14ac:dyDescent="0.25">
      <c r="A8" t="s">
        <v>220</v>
      </c>
      <c r="B8">
        <f t="shared" si="0"/>
        <v>7</v>
      </c>
      <c r="C8">
        <v>62000</v>
      </c>
      <c r="D8" t="s">
        <v>248</v>
      </c>
      <c r="E8">
        <v>240</v>
      </c>
      <c r="F8" s="256">
        <v>350</v>
      </c>
      <c r="G8" s="255">
        <v>12500</v>
      </c>
    </row>
    <row r="9" spans="1:9" x14ac:dyDescent="0.25">
      <c r="A9" t="s">
        <v>220</v>
      </c>
      <c r="B9">
        <f t="shared" si="0"/>
        <v>8</v>
      </c>
      <c r="C9">
        <v>104000</v>
      </c>
      <c r="D9" t="s">
        <v>248</v>
      </c>
      <c r="E9">
        <v>480</v>
      </c>
      <c r="F9" s="256">
        <v>400</v>
      </c>
      <c r="G9" s="255">
        <v>14500</v>
      </c>
    </row>
    <row r="10" spans="1:9" x14ac:dyDescent="0.25">
      <c r="A10" t="s">
        <v>220</v>
      </c>
      <c r="B10">
        <f t="shared" si="0"/>
        <v>9</v>
      </c>
      <c r="C10">
        <v>170000</v>
      </c>
      <c r="D10" t="s">
        <v>248</v>
      </c>
      <c r="E10">
        <v>960</v>
      </c>
      <c r="F10" s="256">
        <v>450</v>
      </c>
      <c r="G10" s="255">
        <v>17000</v>
      </c>
    </row>
    <row r="11" spans="1:9" x14ac:dyDescent="0.25">
      <c r="A11" t="s">
        <v>220</v>
      </c>
      <c r="B11">
        <f t="shared" si="0"/>
        <v>10</v>
      </c>
      <c r="C11">
        <v>240000</v>
      </c>
      <c r="D11" t="s">
        <v>248</v>
      </c>
      <c r="E11">
        <v>1440</v>
      </c>
      <c r="F11" s="256">
        <v>500</v>
      </c>
      <c r="G11" s="255">
        <v>20000</v>
      </c>
    </row>
    <row r="12" spans="1:9" x14ac:dyDescent="0.25">
      <c r="A12" t="s">
        <v>220</v>
      </c>
      <c r="B12">
        <f t="shared" si="0"/>
        <v>11</v>
      </c>
      <c r="C12">
        <v>380000</v>
      </c>
      <c r="D12" t="s">
        <v>248</v>
      </c>
      <c r="E12">
        <v>2880</v>
      </c>
      <c r="F12" s="256">
        <v>550</v>
      </c>
      <c r="G12" s="255">
        <v>23000</v>
      </c>
    </row>
    <row r="13" spans="1:9" x14ac:dyDescent="0.25">
      <c r="A13" t="s">
        <v>220</v>
      </c>
      <c r="B13">
        <f t="shared" si="0"/>
        <v>12</v>
      </c>
      <c r="C13">
        <v>540000</v>
      </c>
      <c r="D13" t="s">
        <v>248</v>
      </c>
      <c r="E13">
        <v>5760</v>
      </c>
      <c r="F13" s="256">
        <v>600</v>
      </c>
      <c r="G13" s="255">
        <v>26500</v>
      </c>
    </row>
    <row r="14" spans="1:9" x14ac:dyDescent="0.25">
      <c r="A14" t="s">
        <v>220</v>
      </c>
      <c r="B14">
        <f t="shared" si="0"/>
        <v>13</v>
      </c>
      <c r="C14">
        <v>740000</v>
      </c>
      <c r="D14" t="s">
        <v>248</v>
      </c>
      <c r="E14">
        <v>8640</v>
      </c>
      <c r="F14" s="256">
        <v>650</v>
      </c>
      <c r="G14" s="255">
        <v>30500</v>
      </c>
    </row>
    <row r="15" spans="1:9" x14ac:dyDescent="0.25">
      <c r="A15" t="s">
        <v>220</v>
      </c>
      <c r="B15">
        <f t="shared" si="0"/>
        <v>14</v>
      </c>
      <c r="C15">
        <v>980000</v>
      </c>
      <c r="D15" t="s">
        <v>248</v>
      </c>
      <c r="E15">
        <v>11520</v>
      </c>
      <c r="F15" s="256">
        <v>700</v>
      </c>
      <c r="G15" s="255">
        <v>35500</v>
      </c>
    </row>
    <row r="16" spans="1:9" x14ac:dyDescent="0.25">
      <c r="A16" t="s">
        <v>220</v>
      </c>
      <c r="B16">
        <f t="shared" si="0"/>
        <v>15</v>
      </c>
      <c r="C16">
        <v>1270000</v>
      </c>
      <c r="D16" t="s">
        <v>248</v>
      </c>
      <c r="E16">
        <v>14400</v>
      </c>
      <c r="F16" s="256">
        <v>750</v>
      </c>
      <c r="G16" s="255">
        <v>41000</v>
      </c>
    </row>
    <row r="17" spans="1:8" x14ac:dyDescent="0.25">
      <c r="A17" t="s">
        <v>220</v>
      </c>
      <c r="B17">
        <f t="shared" si="0"/>
        <v>16</v>
      </c>
      <c r="C17">
        <v>1600000</v>
      </c>
      <c r="D17" t="s">
        <v>248</v>
      </c>
      <c r="E17">
        <v>17280</v>
      </c>
      <c r="F17" s="256">
        <v>800</v>
      </c>
      <c r="G17" s="255">
        <v>47500</v>
      </c>
    </row>
    <row r="18" spans="1:8" x14ac:dyDescent="0.25">
      <c r="A18" t="s">
        <v>220</v>
      </c>
      <c r="B18">
        <f t="shared" si="0"/>
        <v>17</v>
      </c>
      <c r="C18">
        <v>2200000</v>
      </c>
      <c r="D18" t="s">
        <v>248</v>
      </c>
      <c r="E18">
        <v>20160</v>
      </c>
      <c r="F18" s="256">
        <v>850</v>
      </c>
      <c r="G18" s="255">
        <v>55000</v>
      </c>
    </row>
    <row r="19" spans="1:8" x14ac:dyDescent="0.25">
      <c r="A19" t="s">
        <v>220</v>
      </c>
      <c r="B19">
        <f t="shared" si="0"/>
        <v>18</v>
      </c>
      <c r="C19">
        <v>2900000</v>
      </c>
      <c r="D19" t="s">
        <v>248</v>
      </c>
      <c r="E19">
        <v>23040</v>
      </c>
      <c r="F19" s="256">
        <v>900</v>
      </c>
      <c r="G19" s="255">
        <v>65000</v>
      </c>
    </row>
    <row r="20" spans="1:8" x14ac:dyDescent="0.25">
      <c r="A20" t="s">
        <v>220</v>
      </c>
      <c r="B20">
        <f t="shared" si="0"/>
        <v>19</v>
      </c>
      <c r="C20">
        <v>3700000</v>
      </c>
      <c r="D20" t="s">
        <v>248</v>
      </c>
      <c r="E20">
        <v>28800</v>
      </c>
      <c r="F20" s="256">
        <v>950</v>
      </c>
      <c r="G20" s="255">
        <v>75000</v>
      </c>
    </row>
    <row r="21" spans="1:8" x14ac:dyDescent="0.25">
      <c r="A21" t="s">
        <v>220</v>
      </c>
      <c r="B21">
        <f t="shared" si="0"/>
        <v>20</v>
      </c>
      <c r="C21">
        <v>4500000</v>
      </c>
      <c r="D21" t="s">
        <v>248</v>
      </c>
      <c r="E21">
        <v>34560</v>
      </c>
      <c r="F21" s="256">
        <v>1000</v>
      </c>
      <c r="G21" s="255">
        <v>90000</v>
      </c>
    </row>
    <row r="22" spans="1:8" x14ac:dyDescent="0.25">
      <c r="A22" t="s">
        <v>220</v>
      </c>
      <c r="B22">
        <f t="shared" si="0"/>
        <v>21</v>
      </c>
      <c r="C22">
        <v>5100000</v>
      </c>
      <c r="D22" t="s">
        <v>248</v>
      </c>
      <c r="E22">
        <v>37440</v>
      </c>
      <c r="F22" s="256">
        <v>1050</v>
      </c>
      <c r="G22" s="255">
        <v>120000</v>
      </c>
    </row>
    <row r="23" spans="1:8" x14ac:dyDescent="0.25">
      <c r="A23" t="s">
        <v>220</v>
      </c>
      <c r="B23">
        <f t="shared" si="0"/>
        <v>22</v>
      </c>
      <c r="C23">
        <v>5800000</v>
      </c>
      <c r="D23" t="s">
        <v>248</v>
      </c>
      <c r="E23">
        <v>40320</v>
      </c>
      <c r="F23" s="256">
        <v>1100</v>
      </c>
      <c r="G23" s="255">
        <v>150000</v>
      </c>
    </row>
    <row r="24" spans="1:8" x14ac:dyDescent="0.25">
      <c r="A24" t="s">
        <v>220</v>
      </c>
      <c r="B24">
        <f t="shared" si="0"/>
        <v>23</v>
      </c>
      <c r="C24">
        <v>6400000</v>
      </c>
      <c r="D24" t="s">
        <v>248</v>
      </c>
      <c r="E24">
        <v>43200</v>
      </c>
      <c r="F24" s="256">
        <v>1150</v>
      </c>
      <c r="G24" s="255">
        <v>190000</v>
      </c>
    </row>
    <row r="25" spans="1:8" x14ac:dyDescent="0.25">
      <c r="A25" t="s">
        <v>220</v>
      </c>
      <c r="B25">
        <f t="shared" si="0"/>
        <v>24</v>
      </c>
      <c r="C25">
        <v>7100000</v>
      </c>
      <c r="D25" t="s">
        <v>248</v>
      </c>
      <c r="E25">
        <v>46080</v>
      </c>
      <c r="F25" s="256">
        <v>1200</v>
      </c>
      <c r="G25" s="255">
        <v>230000</v>
      </c>
    </row>
    <row r="26" spans="1:8" x14ac:dyDescent="0.25">
      <c r="A26" t="s">
        <v>220</v>
      </c>
      <c r="B26">
        <f t="shared" si="0"/>
        <v>25</v>
      </c>
      <c r="C26">
        <v>7700000</v>
      </c>
      <c r="D26" t="s">
        <v>248</v>
      </c>
      <c r="E26">
        <v>48960</v>
      </c>
      <c r="F26" s="256">
        <v>1250</v>
      </c>
      <c r="G26" s="255">
        <v>280000</v>
      </c>
    </row>
    <row r="27" spans="1:8" x14ac:dyDescent="0.25">
      <c r="A27" t="s">
        <v>228</v>
      </c>
      <c r="B27">
        <v>1</v>
      </c>
      <c r="C27">
        <v>240</v>
      </c>
      <c r="D27" t="s">
        <v>248</v>
      </c>
      <c r="E27">
        <v>0</v>
      </c>
      <c r="F27">
        <v>5</v>
      </c>
      <c r="G27" s="255">
        <v>3500</v>
      </c>
      <c r="H27" s="255"/>
    </row>
    <row r="28" spans="1:8" x14ac:dyDescent="0.25">
      <c r="A28" t="s">
        <v>228</v>
      </c>
      <c r="B28">
        <f>+B27+1</f>
        <v>2</v>
      </c>
      <c r="C28" s="255">
        <v>1100</v>
      </c>
      <c r="D28" t="s">
        <v>248</v>
      </c>
      <c r="E28">
        <v>1</v>
      </c>
      <c r="F28">
        <v>10</v>
      </c>
      <c r="G28" s="255">
        <v>4000</v>
      </c>
    </row>
    <row r="29" spans="1:8" x14ac:dyDescent="0.25">
      <c r="A29" t="s">
        <v>228</v>
      </c>
      <c r="B29">
        <f t="shared" ref="B29:B51" si="1">+B28+1</f>
        <v>3</v>
      </c>
      <c r="C29" s="255">
        <v>3000</v>
      </c>
      <c r="D29" t="s">
        <v>248</v>
      </c>
      <c r="E29">
        <v>5</v>
      </c>
      <c r="F29">
        <v>15</v>
      </c>
      <c r="G29" s="255">
        <v>5000</v>
      </c>
    </row>
    <row r="30" spans="1:8" x14ac:dyDescent="0.25">
      <c r="A30" t="s">
        <v>228</v>
      </c>
      <c r="B30">
        <f t="shared" si="1"/>
        <v>4</v>
      </c>
      <c r="C30" s="255">
        <v>6000</v>
      </c>
      <c r="D30" t="s">
        <v>248</v>
      </c>
      <c r="E30">
        <v>15</v>
      </c>
      <c r="F30">
        <v>20</v>
      </c>
      <c r="G30" s="255">
        <v>5500</v>
      </c>
    </row>
    <row r="31" spans="1:8" x14ac:dyDescent="0.25">
      <c r="A31" t="s">
        <v>228</v>
      </c>
      <c r="B31">
        <f t="shared" si="1"/>
        <v>5</v>
      </c>
      <c r="C31" s="255">
        <v>13000</v>
      </c>
      <c r="D31" t="s">
        <v>248</v>
      </c>
      <c r="E31">
        <v>30</v>
      </c>
      <c r="F31">
        <v>25</v>
      </c>
      <c r="G31" s="255">
        <v>6500</v>
      </c>
    </row>
    <row r="32" spans="1:8" x14ac:dyDescent="0.25">
      <c r="A32" t="s">
        <v>228</v>
      </c>
      <c r="B32">
        <f t="shared" si="1"/>
        <v>6</v>
      </c>
      <c r="C32" s="255">
        <v>22000</v>
      </c>
      <c r="D32" t="s">
        <v>248</v>
      </c>
      <c r="E32">
        <v>60</v>
      </c>
      <c r="F32">
        <v>30</v>
      </c>
      <c r="G32" s="255">
        <v>7500</v>
      </c>
    </row>
    <row r="33" spans="1:7" x14ac:dyDescent="0.25">
      <c r="A33" t="s">
        <v>228</v>
      </c>
      <c r="B33">
        <f t="shared" si="1"/>
        <v>7</v>
      </c>
      <c r="C33" s="255">
        <v>38000</v>
      </c>
      <c r="D33" t="s">
        <v>248</v>
      </c>
      <c r="E33">
        <v>120</v>
      </c>
      <c r="F33">
        <v>35</v>
      </c>
      <c r="G33" s="255">
        <v>9000</v>
      </c>
    </row>
    <row r="34" spans="1:7" x14ac:dyDescent="0.25">
      <c r="A34" t="s">
        <v>228</v>
      </c>
      <c r="B34">
        <f t="shared" si="1"/>
        <v>8</v>
      </c>
      <c r="C34" s="255">
        <v>63000</v>
      </c>
      <c r="D34" t="s">
        <v>248</v>
      </c>
      <c r="E34">
        <v>240</v>
      </c>
      <c r="F34">
        <v>40</v>
      </c>
      <c r="G34" s="255">
        <v>10500</v>
      </c>
    </row>
    <row r="35" spans="1:7" x14ac:dyDescent="0.25">
      <c r="A35" t="s">
        <v>228</v>
      </c>
      <c r="B35">
        <f t="shared" si="1"/>
        <v>9</v>
      </c>
      <c r="C35" s="255">
        <v>110000</v>
      </c>
      <c r="D35" t="s">
        <v>248</v>
      </c>
      <c r="E35">
        <v>480</v>
      </c>
      <c r="F35">
        <v>45</v>
      </c>
      <c r="G35" s="255">
        <v>12000</v>
      </c>
    </row>
    <row r="36" spans="1:7" x14ac:dyDescent="0.25">
      <c r="A36" t="s">
        <v>228</v>
      </c>
      <c r="B36">
        <f t="shared" si="1"/>
        <v>10</v>
      </c>
      <c r="C36" s="255">
        <v>150000</v>
      </c>
      <c r="D36" t="s">
        <v>248</v>
      </c>
      <c r="E36">
        <v>720</v>
      </c>
      <c r="F36">
        <v>50</v>
      </c>
      <c r="G36" s="255">
        <v>14000</v>
      </c>
    </row>
    <row r="37" spans="1:7" x14ac:dyDescent="0.25">
      <c r="A37" t="s">
        <v>228</v>
      </c>
      <c r="B37">
        <f t="shared" si="1"/>
        <v>11</v>
      </c>
      <c r="C37" s="255">
        <v>270000</v>
      </c>
      <c r="D37" t="s">
        <v>248</v>
      </c>
      <c r="E37">
        <v>1440</v>
      </c>
      <c r="F37">
        <v>55</v>
      </c>
      <c r="G37" s="255">
        <v>16500</v>
      </c>
    </row>
    <row r="38" spans="1:7" x14ac:dyDescent="0.25">
      <c r="A38" t="s">
        <v>228</v>
      </c>
      <c r="B38">
        <f t="shared" si="1"/>
        <v>12</v>
      </c>
      <c r="C38" s="255">
        <v>380000</v>
      </c>
      <c r="D38" t="s">
        <v>248</v>
      </c>
      <c r="E38">
        <v>2880</v>
      </c>
      <c r="F38">
        <v>60</v>
      </c>
      <c r="G38" s="255">
        <v>19000</v>
      </c>
    </row>
    <row r="39" spans="1:7" x14ac:dyDescent="0.25">
      <c r="A39" t="s">
        <v>228</v>
      </c>
      <c r="B39">
        <f t="shared" si="1"/>
        <v>13</v>
      </c>
      <c r="C39" s="255">
        <v>520000</v>
      </c>
      <c r="D39" t="s">
        <v>248</v>
      </c>
      <c r="E39">
        <v>4320</v>
      </c>
      <c r="F39">
        <v>65</v>
      </c>
      <c r="G39" s="255">
        <v>21500</v>
      </c>
    </row>
    <row r="40" spans="1:7" x14ac:dyDescent="0.25">
      <c r="A40" t="s">
        <v>228</v>
      </c>
      <c r="B40">
        <f t="shared" si="1"/>
        <v>14</v>
      </c>
      <c r="C40" s="255">
        <v>690000</v>
      </c>
      <c r="D40" t="s">
        <v>248</v>
      </c>
      <c r="E40">
        <v>5760</v>
      </c>
      <c r="F40">
        <v>70</v>
      </c>
      <c r="G40" s="255">
        <v>25000</v>
      </c>
    </row>
    <row r="41" spans="1:7" x14ac:dyDescent="0.25">
      <c r="A41" t="s">
        <v>228</v>
      </c>
      <c r="B41">
        <f t="shared" si="1"/>
        <v>15</v>
      </c>
      <c r="C41" s="255">
        <v>890000</v>
      </c>
      <c r="D41" t="s">
        <v>248</v>
      </c>
      <c r="E41">
        <v>7200</v>
      </c>
      <c r="F41">
        <v>75</v>
      </c>
      <c r="G41" s="255">
        <v>29000</v>
      </c>
    </row>
    <row r="42" spans="1:7" x14ac:dyDescent="0.25">
      <c r="A42" t="s">
        <v>228</v>
      </c>
      <c r="B42">
        <f t="shared" si="1"/>
        <v>16</v>
      </c>
      <c r="C42" s="255">
        <v>1300000</v>
      </c>
      <c r="D42" t="s">
        <v>248</v>
      </c>
      <c r="E42">
        <v>8640</v>
      </c>
      <c r="F42">
        <v>80</v>
      </c>
      <c r="G42" s="255">
        <v>33500</v>
      </c>
    </row>
    <row r="43" spans="1:7" x14ac:dyDescent="0.25">
      <c r="A43" t="s">
        <v>228</v>
      </c>
      <c r="B43">
        <f t="shared" si="1"/>
        <v>17</v>
      </c>
      <c r="C43" s="255">
        <v>1800000</v>
      </c>
      <c r="D43" t="s">
        <v>248</v>
      </c>
      <c r="E43">
        <v>10080</v>
      </c>
      <c r="F43">
        <v>85</v>
      </c>
      <c r="G43" s="255">
        <v>38500</v>
      </c>
    </row>
    <row r="44" spans="1:7" x14ac:dyDescent="0.25">
      <c r="A44" t="s">
        <v>228</v>
      </c>
      <c r="B44">
        <f t="shared" si="1"/>
        <v>18</v>
      </c>
      <c r="C44" s="255">
        <v>2400000</v>
      </c>
      <c r="D44" t="s">
        <v>248</v>
      </c>
      <c r="E44">
        <v>11520</v>
      </c>
      <c r="F44">
        <v>90</v>
      </c>
      <c r="G44" s="255">
        <v>45500</v>
      </c>
    </row>
    <row r="45" spans="1:7" x14ac:dyDescent="0.25">
      <c r="A45" t="s">
        <v>228</v>
      </c>
      <c r="B45">
        <f t="shared" si="1"/>
        <v>19</v>
      </c>
      <c r="C45" s="255">
        <v>3000000</v>
      </c>
      <c r="D45" t="s">
        <v>248</v>
      </c>
      <c r="E45">
        <v>14400</v>
      </c>
      <c r="F45">
        <v>95</v>
      </c>
      <c r="G45" s="255">
        <v>52500</v>
      </c>
    </row>
    <row r="46" spans="1:7" x14ac:dyDescent="0.25">
      <c r="A46" t="s">
        <v>228</v>
      </c>
      <c r="B46">
        <f t="shared" si="1"/>
        <v>20</v>
      </c>
      <c r="C46" s="255">
        <v>3600000</v>
      </c>
      <c r="D46" t="s">
        <v>248</v>
      </c>
      <c r="E46">
        <v>17280</v>
      </c>
      <c r="F46">
        <v>100</v>
      </c>
      <c r="G46" s="255">
        <v>63000</v>
      </c>
    </row>
    <row r="47" spans="1:7" x14ac:dyDescent="0.25">
      <c r="A47" t="s">
        <v>228</v>
      </c>
      <c r="B47">
        <f t="shared" si="1"/>
        <v>21</v>
      </c>
      <c r="C47">
        <v>4100000</v>
      </c>
      <c r="D47" t="s">
        <v>248</v>
      </c>
      <c r="E47">
        <v>18720</v>
      </c>
      <c r="F47">
        <v>105</v>
      </c>
      <c r="G47" s="255">
        <v>80000</v>
      </c>
    </row>
    <row r="48" spans="1:7" x14ac:dyDescent="0.25">
      <c r="A48" t="s">
        <v>228</v>
      </c>
      <c r="B48">
        <f t="shared" si="1"/>
        <v>22</v>
      </c>
      <c r="C48">
        <v>4700000</v>
      </c>
      <c r="D48" t="s">
        <v>248</v>
      </c>
      <c r="E48">
        <v>20160</v>
      </c>
      <c r="F48">
        <v>110</v>
      </c>
      <c r="G48" s="255">
        <v>100000</v>
      </c>
    </row>
    <row r="49" spans="1:7" x14ac:dyDescent="0.25">
      <c r="A49" t="s">
        <v>228</v>
      </c>
      <c r="B49">
        <f t="shared" si="1"/>
        <v>23</v>
      </c>
      <c r="C49">
        <v>5200000</v>
      </c>
      <c r="D49" t="s">
        <v>248</v>
      </c>
      <c r="E49">
        <v>21600</v>
      </c>
      <c r="F49">
        <v>115</v>
      </c>
      <c r="G49" s="255">
        <v>120000</v>
      </c>
    </row>
    <row r="50" spans="1:7" x14ac:dyDescent="0.25">
      <c r="A50" t="s">
        <v>228</v>
      </c>
      <c r="B50">
        <f t="shared" si="1"/>
        <v>24</v>
      </c>
      <c r="C50">
        <v>5700000</v>
      </c>
      <c r="D50" t="s">
        <v>248</v>
      </c>
      <c r="E50">
        <v>23040</v>
      </c>
      <c r="F50">
        <v>120</v>
      </c>
      <c r="G50" s="255">
        <v>150000</v>
      </c>
    </row>
    <row r="51" spans="1:7" x14ac:dyDescent="0.25">
      <c r="A51" t="s">
        <v>228</v>
      </c>
      <c r="B51">
        <f t="shared" si="1"/>
        <v>25</v>
      </c>
      <c r="C51">
        <v>6200000</v>
      </c>
      <c r="D51" t="s">
        <v>248</v>
      </c>
      <c r="E51">
        <v>24480</v>
      </c>
      <c r="F51">
        <v>125</v>
      </c>
      <c r="G51" s="255">
        <v>180000</v>
      </c>
    </row>
    <row r="52" spans="1:7" x14ac:dyDescent="0.25">
      <c r="A52" t="s">
        <v>229</v>
      </c>
      <c r="B52">
        <v>1</v>
      </c>
      <c r="C52">
        <v>240</v>
      </c>
      <c r="D52" t="s">
        <v>249</v>
      </c>
      <c r="E52">
        <v>0</v>
      </c>
      <c r="F52">
        <v>1</v>
      </c>
      <c r="G52">
        <v>2500</v>
      </c>
    </row>
    <row r="53" spans="1:7" x14ac:dyDescent="0.25">
      <c r="A53" t="s">
        <v>229</v>
      </c>
      <c r="B53">
        <v>2</v>
      </c>
      <c r="C53">
        <v>1100</v>
      </c>
      <c r="D53" t="s">
        <v>249</v>
      </c>
      <c r="E53">
        <v>1</v>
      </c>
      <c r="F53">
        <v>2</v>
      </c>
      <c r="G53">
        <v>3000</v>
      </c>
    </row>
    <row r="54" spans="1:7" x14ac:dyDescent="0.25">
      <c r="A54" t="s">
        <v>229</v>
      </c>
      <c r="B54">
        <v>3</v>
      </c>
      <c r="C54">
        <v>3000</v>
      </c>
      <c r="D54" t="s">
        <v>249</v>
      </c>
      <c r="E54">
        <v>5</v>
      </c>
      <c r="F54">
        <v>3</v>
      </c>
      <c r="G54">
        <v>3500</v>
      </c>
    </row>
    <row r="55" spans="1:7" x14ac:dyDescent="0.25">
      <c r="A55" t="s">
        <v>229</v>
      </c>
      <c r="B55">
        <v>4</v>
      </c>
      <c r="C55">
        <v>6000</v>
      </c>
      <c r="D55" t="s">
        <v>249</v>
      </c>
      <c r="E55">
        <v>15</v>
      </c>
      <c r="F55">
        <v>4</v>
      </c>
      <c r="G55">
        <v>4000</v>
      </c>
    </row>
    <row r="56" spans="1:7" x14ac:dyDescent="0.25">
      <c r="A56" t="s">
        <v>229</v>
      </c>
      <c r="B56">
        <v>5</v>
      </c>
      <c r="C56">
        <v>13000</v>
      </c>
      <c r="D56" t="s">
        <v>249</v>
      </c>
      <c r="E56">
        <v>30</v>
      </c>
      <c r="F56">
        <v>5</v>
      </c>
      <c r="G56">
        <v>4500</v>
      </c>
    </row>
    <row r="57" spans="1:7" x14ac:dyDescent="0.25">
      <c r="A57" t="s">
        <v>229</v>
      </c>
      <c r="B57">
        <v>6</v>
      </c>
      <c r="C57">
        <v>22000</v>
      </c>
      <c r="D57" t="s">
        <v>249</v>
      </c>
      <c r="E57">
        <v>60</v>
      </c>
      <c r="F57">
        <v>6</v>
      </c>
      <c r="G57">
        <v>5500</v>
      </c>
    </row>
    <row r="58" spans="1:7" x14ac:dyDescent="0.25">
      <c r="A58" t="s">
        <v>229</v>
      </c>
      <c r="B58">
        <v>7</v>
      </c>
      <c r="C58">
        <v>38000</v>
      </c>
      <c r="D58" t="s">
        <v>249</v>
      </c>
      <c r="E58">
        <v>120</v>
      </c>
      <c r="F58">
        <v>7</v>
      </c>
      <c r="G58">
        <v>6500</v>
      </c>
    </row>
    <row r="59" spans="1:7" x14ac:dyDescent="0.25">
      <c r="A59" t="s">
        <v>229</v>
      </c>
      <c r="B59">
        <v>8</v>
      </c>
      <c r="C59">
        <v>63000</v>
      </c>
      <c r="D59" t="s">
        <v>249</v>
      </c>
      <c r="E59">
        <v>240</v>
      </c>
      <c r="F59">
        <v>8</v>
      </c>
      <c r="G59">
        <v>7500</v>
      </c>
    </row>
    <row r="60" spans="1:7" x14ac:dyDescent="0.25">
      <c r="A60" t="s">
        <v>229</v>
      </c>
      <c r="B60">
        <v>9</v>
      </c>
      <c r="C60">
        <v>110000</v>
      </c>
      <c r="D60" t="s">
        <v>249</v>
      </c>
      <c r="E60">
        <v>480</v>
      </c>
      <c r="F60">
        <v>9</v>
      </c>
      <c r="G60">
        <v>8500</v>
      </c>
    </row>
    <row r="61" spans="1:7" x14ac:dyDescent="0.25">
      <c r="A61" t="s">
        <v>229</v>
      </c>
      <c r="B61">
        <v>10</v>
      </c>
      <c r="C61">
        <v>150000</v>
      </c>
      <c r="D61" t="s">
        <v>249</v>
      </c>
      <c r="E61">
        <v>720</v>
      </c>
      <c r="F61">
        <v>10</v>
      </c>
      <c r="G61">
        <v>10000</v>
      </c>
    </row>
    <row r="62" spans="1:7" x14ac:dyDescent="0.25">
      <c r="A62" t="s">
        <v>229</v>
      </c>
      <c r="B62">
        <v>11</v>
      </c>
      <c r="C62">
        <v>270000</v>
      </c>
      <c r="D62" t="s">
        <v>249</v>
      </c>
      <c r="E62">
        <v>1440</v>
      </c>
      <c r="F62">
        <v>11</v>
      </c>
      <c r="G62">
        <v>11500</v>
      </c>
    </row>
    <row r="63" spans="1:7" x14ac:dyDescent="0.25">
      <c r="A63" t="s">
        <v>229</v>
      </c>
      <c r="B63">
        <v>12</v>
      </c>
      <c r="C63">
        <v>380000</v>
      </c>
      <c r="D63" t="s">
        <v>249</v>
      </c>
      <c r="E63">
        <v>2880</v>
      </c>
      <c r="F63">
        <v>12</v>
      </c>
      <c r="G63">
        <v>13500</v>
      </c>
    </row>
    <row r="64" spans="1:7" x14ac:dyDescent="0.25">
      <c r="A64" t="s">
        <v>229</v>
      </c>
      <c r="B64">
        <v>13</v>
      </c>
      <c r="C64">
        <v>520000</v>
      </c>
      <c r="D64" t="s">
        <v>249</v>
      </c>
      <c r="E64">
        <v>4320</v>
      </c>
      <c r="F64">
        <v>13</v>
      </c>
      <c r="G64">
        <v>15500</v>
      </c>
    </row>
    <row r="65" spans="1:7" x14ac:dyDescent="0.25">
      <c r="A65" t="s">
        <v>229</v>
      </c>
      <c r="B65">
        <v>14</v>
      </c>
      <c r="C65">
        <v>690000</v>
      </c>
      <c r="D65" t="s">
        <v>249</v>
      </c>
      <c r="E65">
        <v>5760</v>
      </c>
      <c r="F65">
        <v>14</v>
      </c>
      <c r="G65">
        <v>18000</v>
      </c>
    </row>
    <row r="66" spans="1:7" x14ac:dyDescent="0.25">
      <c r="A66" t="s">
        <v>229</v>
      </c>
      <c r="B66">
        <v>15</v>
      </c>
      <c r="C66">
        <v>890000</v>
      </c>
      <c r="D66" t="s">
        <v>249</v>
      </c>
      <c r="E66">
        <v>7200</v>
      </c>
      <c r="F66">
        <v>15</v>
      </c>
      <c r="G66">
        <v>20500</v>
      </c>
    </row>
    <row r="67" spans="1:7" x14ac:dyDescent="0.25">
      <c r="A67" t="s">
        <v>229</v>
      </c>
      <c r="B67">
        <v>16</v>
      </c>
      <c r="C67">
        <v>1300000</v>
      </c>
      <c r="D67" t="s">
        <v>249</v>
      </c>
      <c r="E67">
        <v>8640</v>
      </c>
      <c r="F67">
        <v>16</v>
      </c>
      <c r="G67">
        <v>24000</v>
      </c>
    </row>
    <row r="68" spans="1:7" x14ac:dyDescent="0.25">
      <c r="A68" t="s">
        <v>229</v>
      </c>
      <c r="B68">
        <v>17</v>
      </c>
      <c r="C68">
        <v>1800000</v>
      </c>
      <c r="D68" t="s">
        <v>249</v>
      </c>
      <c r="E68">
        <v>10080</v>
      </c>
      <c r="F68">
        <v>17</v>
      </c>
      <c r="G68">
        <v>27500</v>
      </c>
    </row>
    <row r="69" spans="1:7" x14ac:dyDescent="0.25">
      <c r="A69" t="s">
        <v>229</v>
      </c>
      <c r="B69">
        <v>18</v>
      </c>
      <c r="C69">
        <v>2400000</v>
      </c>
      <c r="D69" t="s">
        <v>249</v>
      </c>
      <c r="E69">
        <v>11520</v>
      </c>
      <c r="F69">
        <v>18</v>
      </c>
      <c r="G69">
        <v>32500</v>
      </c>
    </row>
    <row r="70" spans="1:7" x14ac:dyDescent="0.25">
      <c r="A70" t="s">
        <v>229</v>
      </c>
      <c r="B70">
        <v>19</v>
      </c>
      <c r="C70">
        <v>3000000</v>
      </c>
      <c r="D70" t="s">
        <v>249</v>
      </c>
      <c r="E70">
        <v>14400</v>
      </c>
      <c r="F70">
        <v>19</v>
      </c>
      <c r="G70">
        <v>37500</v>
      </c>
    </row>
    <row r="71" spans="1:7" x14ac:dyDescent="0.25">
      <c r="A71" t="s">
        <v>229</v>
      </c>
      <c r="B71">
        <v>20</v>
      </c>
      <c r="C71">
        <v>3600000</v>
      </c>
      <c r="D71" t="s">
        <v>249</v>
      </c>
      <c r="E71">
        <v>17280</v>
      </c>
      <c r="F71">
        <v>20</v>
      </c>
      <c r="G71">
        <v>45000</v>
      </c>
    </row>
    <row r="72" spans="1:7" x14ac:dyDescent="0.25">
      <c r="A72" t="s">
        <v>229</v>
      </c>
      <c r="B72">
        <v>21</v>
      </c>
      <c r="C72">
        <v>4100000</v>
      </c>
      <c r="D72" t="s">
        <v>249</v>
      </c>
      <c r="E72">
        <v>18720</v>
      </c>
      <c r="F72">
        <v>21</v>
      </c>
      <c r="G72">
        <v>60000</v>
      </c>
    </row>
    <row r="73" spans="1:7" x14ac:dyDescent="0.25">
      <c r="A73" t="s">
        <v>229</v>
      </c>
      <c r="B73">
        <v>22</v>
      </c>
      <c r="C73">
        <v>4700000</v>
      </c>
      <c r="D73" t="s">
        <v>249</v>
      </c>
      <c r="E73">
        <v>20160</v>
      </c>
      <c r="F73">
        <v>22</v>
      </c>
      <c r="G73">
        <v>80000</v>
      </c>
    </row>
    <row r="74" spans="1:7" x14ac:dyDescent="0.25">
      <c r="A74" t="s">
        <v>229</v>
      </c>
      <c r="B74">
        <v>23</v>
      </c>
      <c r="C74">
        <v>5200000</v>
      </c>
      <c r="D74" t="s">
        <v>249</v>
      </c>
      <c r="E74">
        <v>21600</v>
      </c>
      <c r="F74">
        <v>23</v>
      </c>
      <c r="G74">
        <v>100000</v>
      </c>
    </row>
    <row r="75" spans="1:7" x14ac:dyDescent="0.25">
      <c r="A75" t="s">
        <v>229</v>
      </c>
      <c r="B75">
        <v>24</v>
      </c>
      <c r="C75">
        <v>5700000</v>
      </c>
      <c r="D75" t="s">
        <v>249</v>
      </c>
      <c r="E75">
        <v>23040</v>
      </c>
      <c r="F75">
        <v>24</v>
      </c>
      <c r="G75">
        <v>120000</v>
      </c>
    </row>
    <row r="76" spans="1:7" x14ac:dyDescent="0.25">
      <c r="A76" t="s">
        <v>229</v>
      </c>
      <c r="B76">
        <v>25</v>
      </c>
      <c r="C76">
        <v>6200000</v>
      </c>
      <c r="D76" t="s">
        <v>249</v>
      </c>
      <c r="E76">
        <v>24480</v>
      </c>
      <c r="F76">
        <v>25</v>
      </c>
      <c r="G76">
        <v>150000</v>
      </c>
    </row>
    <row r="77" spans="1:7" x14ac:dyDescent="0.25">
      <c r="A77" t="s">
        <v>231</v>
      </c>
      <c r="B77">
        <v>1</v>
      </c>
      <c r="C77">
        <v>240</v>
      </c>
      <c r="D77" t="s">
        <v>248</v>
      </c>
      <c r="E77">
        <v>0</v>
      </c>
      <c r="F77">
        <v>10</v>
      </c>
      <c r="G77">
        <v>3500</v>
      </c>
    </row>
    <row r="78" spans="1:7" x14ac:dyDescent="0.25">
      <c r="A78" t="s">
        <v>231</v>
      </c>
      <c r="B78">
        <v>2</v>
      </c>
      <c r="C78">
        <v>1100</v>
      </c>
      <c r="D78" t="s">
        <v>248</v>
      </c>
      <c r="E78">
        <v>1</v>
      </c>
      <c r="F78">
        <v>20</v>
      </c>
      <c r="G78">
        <v>4000</v>
      </c>
    </row>
    <row r="79" spans="1:7" x14ac:dyDescent="0.25">
      <c r="A79" t="s">
        <v>231</v>
      </c>
      <c r="B79">
        <v>3</v>
      </c>
      <c r="C79">
        <v>3000</v>
      </c>
      <c r="D79" t="s">
        <v>248</v>
      </c>
      <c r="E79">
        <v>5</v>
      </c>
      <c r="F79">
        <v>30</v>
      </c>
      <c r="G79">
        <v>5000</v>
      </c>
    </row>
    <row r="80" spans="1:7" x14ac:dyDescent="0.25">
      <c r="A80" t="s">
        <v>231</v>
      </c>
      <c r="B80">
        <v>4</v>
      </c>
      <c r="C80">
        <v>6000</v>
      </c>
      <c r="D80" t="s">
        <v>248</v>
      </c>
      <c r="E80">
        <v>15</v>
      </c>
      <c r="F80">
        <v>40</v>
      </c>
      <c r="G80">
        <v>5500</v>
      </c>
    </row>
    <row r="81" spans="1:7" x14ac:dyDescent="0.25">
      <c r="A81" t="s">
        <v>231</v>
      </c>
      <c r="B81">
        <v>5</v>
      </c>
      <c r="C81">
        <v>13000</v>
      </c>
      <c r="D81" t="s">
        <v>248</v>
      </c>
      <c r="E81">
        <v>30</v>
      </c>
      <c r="F81">
        <v>50</v>
      </c>
      <c r="G81">
        <v>6500</v>
      </c>
    </row>
    <row r="82" spans="1:7" x14ac:dyDescent="0.25">
      <c r="A82" t="s">
        <v>231</v>
      </c>
      <c r="B82">
        <v>6</v>
      </c>
      <c r="C82">
        <v>22000</v>
      </c>
      <c r="D82" t="s">
        <v>248</v>
      </c>
      <c r="E82">
        <v>60</v>
      </c>
      <c r="F82">
        <v>60</v>
      </c>
      <c r="G82">
        <v>7500</v>
      </c>
    </row>
    <row r="83" spans="1:7" x14ac:dyDescent="0.25">
      <c r="A83" t="s">
        <v>231</v>
      </c>
      <c r="B83">
        <v>7</v>
      </c>
      <c r="C83">
        <v>38000</v>
      </c>
      <c r="D83" t="s">
        <v>248</v>
      </c>
      <c r="E83">
        <v>120</v>
      </c>
      <c r="F83">
        <v>70</v>
      </c>
      <c r="G83">
        <v>9000</v>
      </c>
    </row>
    <row r="84" spans="1:7" x14ac:dyDescent="0.25">
      <c r="A84" t="s">
        <v>231</v>
      </c>
      <c r="B84">
        <v>8</v>
      </c>
      <c r="C84">
        <v>63000</v>
      </c>
      <c r="D84" t="s">
        <v>248</v>
      </c>
      <c r="E84">
        <v>240</v>
      </c>
      <c r="F84">
        <v>80</v>
      </c>
      <c r="G84">
        <v>10500</v>
      </c>
    </row>
    <row r="85" spans="1:7" x14ac:dyDescent="0.25">
      <c r="A85" t="s">
        <v>231</v>
      </c>
      <c r="B85">
        <v>9</v>
      </c>
      <c r="C85">
        <v>110000</v>
      </c>
      <c r="D85" t="s">
        <v>248</v>
      </c>
      <c r="E85">
        <v>480</v>
      </c>
      <c r="F85">
        <v>90</v>
      </c>
      <c r="G85">
        <v>12000</v>
      </c>
    </row>
    <row r="86" spans="1:7" x14ac:dyDescent="0.25">
      <c r="A86" t="s">
        <v>231</v>
      </c>
      <c r="B86">
        <v>10</v>
      </c>
      <c r="C86">
        <v>150000</v>
      </c>
      <c r="D86" t="s">
        <v>248</v>
      </c>
      <c r="E86">
        <v>720</v>
      </c>
      <c r="F86">
        <v>100</v>
      </c>
      <c r="G86">
        <v>14000</v>
      </c>
    </row>
    <row r="87" spans="1:7" x14ac:dyDescent="0.25">
      <c r="A87" t="s">
        <v>231</v>
      </c>
      <c r="B87">
        <v>11</v>
      </c>
      <c r="C87">
        <v>270000</v>
      </c>
      <c r="D87" t="s">
        <v>248</v>
      </c>
      <c r="E87">
        <v>1440</v>
      </c>
      <c r="F87">
        <v>110</v>
      </c>
      <c r="G87">
        <v>16500</v>
      </c>
    </row>
    <row r="88" spans="1:7" x14ac:dyDescent="0.25">
      <c r="A88" t="s">
        <v>231</v>
      </c>
      <c r="B88">
        <v>12</v>
      </c>
      <c r="C88">
        <v>380000</v>
      </c>
      <c r="D88" t="s">
        <v>248</v>
      </c>
      <c r="E88">
        <v>2880</v>
      </c>
      <c r="F88">
        <v>120</v>
      </c>
      <c r="G88">
        <v>19000</v>
      </c>
    </row>
    <row r="89" spans="1:7" x14ac:dyDescent="0.25">
      <c r="A89" t="s">
        <v>231</v>
      </c>
      <c r="B89">
        <v>13</v>
      </c>
      <c r="C89">
        <v>520000</v>
      </c>
      <c r="D89" t="s">
        <v>248</v>
      </c>
      <c r="E89">
        <v>4320</v>
      </c>
      <c r="F89">
        <v>130</v>
      </c>
      <c r="G89">
        <v>21500</v>
      </c>
    </row>
    <row r="90" spans="1:7" x14ac:dyDescent="0.25">
      <c r="A90" t="s">
        <v>231</v>
      </c>
      <c r="B90">
        <v>14</v>
      </c>
      <c r="C90">
        <v>690000</v>
      </c>
      <c r="D90" t="s">
        <v>248</v>
      </c>
      <c r="E90">
        <v>5760</v>
      </c>
      <c r="F90">
        <v>140</v>
      </c>
      <c r="G90">
        <v>25000</v>
      </c>
    </row>
    <row r="91" spans="1:7" x14ac:dyDescent="0.25">
      <c r="A91" t="s">
        <v>231</v>
      </c>
      <c r="B91">
        <v>15</v>
      </c>
      <c r="C91">
        <v>890000</v>
      </c>
      <c r="D91" t="s">
        <v>248</v>
      </c>
      <c r="E91">
        <v>7200</v>
      </c>
      <c r="F91">
        <v>150</v>
      </c>
      <c r="G91">
        <v>29000</v>
      </c>
    </row>
    <row r="92" spans="1:7" x14ac:dyDescent="0.25">
      <c r="A92" t="s">
        <v>231</v>
      </c>
      <c r="B92">
        <v>16</v>
      </c>
      <c r="C92">
        <v>1300000</v>
      </c>
      <c r="D92" t="s">
        <v>248</v>
      </c>
      <c r="E92">
        <v>8640</v>
      </c>
      <c r="F92">
        <v>160</v>
      </c>
      <c r="G92">
        <v>33500</v>
      </c>
    </row>
    <row r="93" spans="1:7" x14ac:dyDescent="0.25">
      <c r="A93" t="s">
        <v>231</v>
      </c>
      <c r="B93">
        <v>17</v>
      </c>
      <c r="C93">
        <v>1800000</v>
      </c>
      <c r="D93" t="s">
        <v>248</v>
      </c>
      <c r="E93">
        <v>10080</v>
      </c>
      <c r="F93">
        <v>170</v>
      </c>
      <c r="G93">
        <v>38500</v>
      </c>
    </row>
    <row r="94" spans="1:7" x14ac:dyDescent="0.25">
      <c r="A94" t="s">
        <v>231</v>
      </c>
      <c r="B94">
        <v>18</v>
      </c>
      <c r="C94">
        <v>2400000</v>
      </c>
      <c r="D94" t="s">
        <v>248</v>
      </c>
      <c r="E94">
        <v>11520</v>
      </c>
      <c r="F94">
        <v>180</v>
      </c>
      <c r="G94">
        <v>45500</v>
      </c>
    </row>
    <row r="95" spans="1:7" x14ac:dyDescent="0.25">
      <c r="A95" t="s">
        <v>231</v>
      </c>
      <c r="B95">
        <v>19</v>
      </c>
      <c r="C95">
        <v>3000000</v>
      </c>
      <c r="D95" t="s">
        <v>248</v>
      </c>
      <c r="E95">
        <v>14400</v>
      </c>
      <c r="F95">
        <v>190</v>
      </c>
      <c r="G95">
        <v>52500</v>
      </c>
    </row>
    <row r="96" spans="1:7" x14ac:dyDescent="0.25">
      <c r="A96" t="s">
        <v>231</v>
      </c>
      <c r="B96">
        <v>20</v>
      </c>
      <c r="C96">
        <v>3600000</v>
      </c>
      <c r="D96" t="s">
        <v>248</v>
      </c>
      <c r="E96">
        <v>17280</v>
      </c>
      <c r="F96">
        <v>200</v>
      </c>
      <c r="G96">
        <v>63000</v>
      </c>
    </row>
    <row r="97" spans="1:7" x14ac:dyDescent="0.25">
      <c r="A97" t="s">
        <v>231</v>
      </c>
      <c r="B97">
        <v>21</v>
      </c>
      <c r="C97">
        <v>410000</v>
      </c>
      <c r="D97" t="s">
        <v>248</v>
      </c>
      <c r="E97">
        <v>18720</v>
      </c>
      <c r="F97">
        <v>210</v>
      </c>
      <c r="G97">
        <v>80000</v>
      </c>
    </row>
    <row r="98" spans="1:7" x14ac:dyDescent="0.25">
      <c r="A98" t="s">
        <v>231</v>
      </c>
      <c r="B98">
        <v>22</v>
      </c>
      <c r="C98">
        <v>470000</v>
      </c>
      <c r="D98" t="s">
        <v>248</v>
      </c>
      <c r="E98">
        <v>20160</v>
      </c>
      <c r="F98">
        <v>220</v>
      </c>
      <c r="G98">
        <v>100000</v>
      </c>
    </row>
    <row r="99" spans="1:7" x14ac:dyDescent="0.25">
      <c r="A99" t="s">
        <v>231</v>
      </c>
      <c r="B99">
        <v>23</v>
      </c>
      <c r="C99">
        <v>5200000</v>
      </c>
      <c r="D99" t="s">
        <v>248</v>
      </c>
      <c r="E99">
        <v>21600</v>
      </c>
      <c r="F99">
        <v>230</v>
      </c>
      <c r="G99">
        <v>120000</v>
      </c>
    </row>
    <row r="100" spans="1:7" x14ac:dyDescent="0.25">
      <c r="A100" t="s">
        <v>231</v>
      </c>
      <c r="B100">
        <v>24</v>
      </c>
      <c r="C100">
        <v>5700000</v>
      </c>
      <c r="D100" t="s">
        <v>248</v>
      </c>
      <c r="E100">
        <v>23040</v>
      </c>
      <c r="F100">
        <v>240</v>
      </c>
      <c r="G100">
        <v>140000</v>
      </c>
    </row>
    <row r="101" spans="1:7" x14ac:dyDescent="0.25">
      <c r="A101" t="s">
        <v>232</v>
      </c>
      <c r="B101">
        <v>1</v>
      </c>
      <c r="C101">
        <v>3000</v>
      </c>
      <c r="D101" t="s">
        <v>249</v>
      </c>
      <c r="E101">
        <v>43200</v>
      </c>
      <c r="F101">
        <v>10</v>
      </c>
      <c r="G101">
        <v>3500</v>
      </c>
    </row>
    <row r="102" spans="1:7" x14ac:dyDescent="0.25">
      <c r="A102" t="s">
        <v>232</v>
      </c>
      <c r="B102">
        <v>2</v>
      </c>
      <c r="C102">
        <v>12000</v>
      </c>
      <c r="D102" t="s">
        <v>249</v>
      </c>
      <c r="E102">
        <v>0</v>
      </c>
      <c r="F102">
        <v>20</v>
      </c>
      <c r="G102">
        <v>4000</v>
      </c>
    </row>
    <row r="103" spans="1:7" x14ac:dyDescent="0.25">
      <c r="A103" t="s">
        <v>232</v>
      </c>
      <c r="B103">
        <v>3</v>
      </c>
      <c r="C103">
        <v>27000</v>
      </c>
      <c r="D103" t="s">
        <v>249</v>
      </c>
      <c r="E103">
        <v>5</v>
      </c>
      <c r="F103">
        <v>30</v>
      </c>
      <c r="G103">
        <v>5000</v>
      </c>
    </row>
    <row r="104" spans="1:7" x14ac:dyDescent="0.25">
      <c r="A104" t="s">
        <v>232</v>
      </c>
      <c r="B104">
        <v>4</v>
      </c>
      <c r="C104">
        <v>48000</v>
      </c>
      <c r="D104" t="s">
        <v>249</v>
      </c>
      <c r="E104">
        <v>15</v>
      </c>
      <c r="F104">
        <v>40</v>
      </c>
      <c r="G104">
        <v>5500</v>
      </c>
    </row>
    <row r="105" spans="1:7" x14ac:dyDescent="0.25">
      <c r="A105" t="s">
        <v>232</v>
      </c>
      <c r="B105">
        <v>5</v>
      </c>
      <c r="C105">
        <v>75000</v>
      </c>
      <c r="D105" t="s">
        <v>249</v>
      </c>
      <c r="E105">
        <v>30</v>
      </c>
      <c r="F105">
        <v>50</v>
      </c>
      <c r="G105">
        <v>6500</v>
      </c>
    </row>
    <row r="106" spans="1:7" x14ac:dyDescent="0.25">
      <c r="A106" t="s">
        <v>232</v>
      </c>
      <c r="B106">
        <v>6</v>
      </c>
      <c r="C106">
        <v>108000</v>
      </c>
      <c r="D106" t="s">
        <v>249</v>
      </c>
      <c r="E106">
        <v>60</v>
      </c>
      <c r="F106">
        <v>60</v>
      </c>
      <c r="G106">
        <v>7500</v>
      </c>
    </row>
    <row r="107" spans="1:7" x14ac:dyDescent="0.25">
      <c r="A107" t="s">
        <v>232</v>
      </c>
      <c r="B107">
        <v>7</v>
      </c>
      <c r="C107">
        <v>147000</v>
      </c>
      <c r="D107" t="s">
        <v>249</v>
      </c>
      <c r="E107">
        <v>120</v>
      </c>
      <c r="F107">
        <v>70</v>
      </c>
      <c r="G107">
        <v>9000</v>
      </c>
    </row>
    <row r="108" spans="1:7" x14ac:dyDescent="0.25">
      <c r="A108" t="s">
        <v>232</v>
      </c>
      <c r="B108">
        <v>8</v>
      </c>
      <c r="C108">
        <v>192000</v>
      </c>
      <c r="D108" t="s">
        <v>249</v>
      </c>
      <c r="E108">
        <v>240</v>
      </c>
      <c r="F108">
        <v>80</v>
      </c>
      <c r="G108">
        <v>10500</v>
      </c>
    </row>
    <row r="109" spans="1:7" x14ac:dyDescent="0.25">
      <c r="A109" t="s">
        <v>232</v>
      </c>
      <c r="B109">
        <v>9</v>
      </c>
      <c r="C109">
        <v>243000</v>
      </c>
      <c r="D109" t="s">
        <v>249</v>
      </c>
      <c r="E109">
        <v>480</v>
      </c>
      <c r="F109">
        <v>90</v>
      </c>
      <c r="G109">
        <v>12000</v>
      </c>
    </row>
    <row r="110" spans="1:7" x14ac:dyDescent="0.25">
      <c r="A110" t="s">
        <v>232</v>
      </c>
      <c r="B110">
        <v>10</v>
      </c>
      <c r="C110">
        <v>300000</v>
      </c>
      <c r="D110" t="s">
        <v>249</v>
      </c>
      <c r="E110">
        <v>720</v>
      </c>
      <c r="F110">
        <v>100</v>
      </c>
      <c r="G110">
        <v>14000</v>
      </c>
    </row>
    <row r="111" spans="1:7" x14ac:dyDescent="0.25">
      <c r="A111" t="s">
        <v>232</v>
      </c>
      <c r="B111">
        <v>11</v>
      </c>
      <c r="C111">
        <v>363000</v>
      </c>
      <c r="D111" t="s">
        <v>249</v>
      </c>
      <c r="E111">
        <v>1440</v>
      </c>
      <c r="F111">
        <v>110</v>
      </c>
      <c r="G111">
        <v>16500</v>
      </c>
    </row>
    <row r="112" spans="1:7" x14ac:dyDescent="0.25">
      <c r="A112" t="s">
        <v>232</v>
      </c>
      <c r="B112">
        <v>12</v>
      </c>
      <c r="C112">
        <v>432000</v>
      </c>
      <c r="D112" t="s">
        <v>249</v>
      </c>
      <c r="E112">
        <v>2880</v>
      </c>
      <c r="F112">
        <v>120</v>
      </c>
      <c r="G112">
        <v>19000</v>
      </c>
    </row>
    <row r="113" spans="1:7" x14ac:dyDescent="0.25">
      <c r="A113" t="s">
        <v>232</v>
      </c>
      <c r="B113">
        <v>13</v>
      </c>
      <c r="C113">
        <v>507000</v>
      </c>
      <c r="D113" t="s">
        <v>249</v>
      </c>
      <c r="E113">
        <v>4320</v>
      </c>
      <c r="F113">
        <v>130</v>
      </c>
      <c r="G113">
        <v>21500</v>
      </c>
    </row>
    <row r="114" spans="1:7" x14ac:dyDescent="0.25">
      <c r="A114" t="s">
        <v>232</v>
      </c>
      <c r="B114">
        <v>14</v>
      </c>
      <c r="C114">
        <v>588000</v>
      </c>
      <c r="D114" t="s">
        <v>249</v>
      </c>
      <c r="E114">
        <v>5760</v>
      </c>
      <c r="F114">
        <v>140</v>
      </c>
      <c r="G114">
        <v>25000</v>
      </c>
    </row>
    <row r="115" spans="1:7" x14ac:dyDescent="0.25">
      <c r="A115" t="s">
        <v>232</v>
      </c>
      <c r="B115">
        <v>15</v>
      </c>
      <c r="C115">
        <v>675000</v>
      </c>
      <c r="D115" t="s">
        <v>249</v>
      </c>
      <c r="E115">
        <v>7200</v>
      </c>
      <c r="F115">
        <v>150</v>
      </c>
      <c r="G115">
        <v>29000</v>
      </c>
    </row>
    <row r="116" spans="1:7" x14ac:dyDescent="0.25">
      <c r="A116" t="s">
        <v>232</v>
      </c>
      <c r="B116">
        <v>16</v>
      </c>
      <c r="C116">
        <v>768000</v>
      </c>
      <c r="D116" t="s">
        <v>249</v>
      </c>
      <c r="E116">
        <v>8640</v>
      </c>
      <c r="F116">
        <v>160</v>
      </c>
      <c r="G116">
        <v>33500</v>
      </c>
    </row>
    <row r="117" spans="1:7" x14ac:dyDescent="0.25">
      <c r="A117" t="s">
        <v>232</v>
      </c>
      <c r="B117">
        <v>17</v>
      </c>
      <c r="C117">
        <v>867000</v>
      </c>
      <c r="D117" t="s">
        <v>249</v>
      </c>
      <c r="E117">
        <v>10080</v>
      </c>
      <c r="F117">
        <v>170</v>
      </c>
      <c r="G117">
        <v>38500</v>
      </c>
    </row>
    <row r="118" spans="1:7" x14ac:dyDescent="0.25">
      <c r="A118" t="s">
        <v>232</v>
      </c>
      <c r="B118">
        <v>18</v>
      </c>
      <c r="C118">
        <v>972000</v>
      </c>
      <c r="D118" t="s">
        <v>249</v>
      </c>
      <c r="E118">
        <v>11520</v>
      </c>
      <c r="F118">
        <v>180</v>
      </c>
      <c r="G118">
        <v>45500</v>
      </c>
    </row>
    <row r="119" spans="1:7" x14ac:dyDescent="0.25">
      <c r="A119" t="s">
        <v>232</v>
      </c>
      <c r="B119">
        <v>19</v>
      </c>
      <c r="C119">
        <v>1083000</v>
      </c>
      <c r="D119" t="s">
        <v>249</v>
      </c>
      <c r="E119">
        <v>14400</v>
      </c>
      <c r="F119">
        <v>190</v>
      </c>
      <c r="G119">
        <v>52500</v>
      </c>
    </row>
    <row r="120" spans="1:7" x14ac:dyDescent="0.25">
      <c r="A120" t="s">
        <v>232</v>
      </c>
      <c r="B120">
        <v>20</v>
      </c>
      <c r="C120">
        <v>1200000</v>
      </c>
      <c r="D120" t="s">
        <v>249</v>
      </c>
      <c r="E120">
        <v>17280</v>
      </c>
      <c r="F120">
        <v>200</v>
      </c>
      <c r="G120">
        <v>63000</v>
      </c>
    </row>
    <row r="121" spans="1:7" x14ac:dyDescent="0.25">
      <c r="A121" t="s">
        <v>233</v>
      </c>
      <c r="B121">
        <v>1</v>
      </c>
      <c r="C121">
        <v>240</v>
      </c>
      <c r="D121" t="s">
        <v>248</v>
      </c>
      <c r="E121">
        <v>0</v>
      </c>
      <c r="F121">
        <v>5</v>
      </c>
      <c r="G121">
        <v>2500</v>
      </c>
    </row>
    <row r="122" spans="1:7" x14ac:dyDescent="0.25">
      <c r="A122" t="s">
        <v>233</v>
      </c>
      <c r="B122">
        <v>2</v>
      </c>
      <c r="C122">
        <v>1100</v>
      </c>
      <c r="D122" t="s">
        <v>248</v>
      </c>
      <c r="E122">
        <v>1</v>
      </c>
      <c r="F122">
        <v>10</v>
      </c>
      <c r="G122">
        <v>3000</v>
      </c>
    </row>
    <row r="123" spans="1:7" x14ac:dyDescent="0.25">
      <c r="A123" t="s">
        <v>233</v>
      </c>
      <c r="B123">
        <v>3</v>
      </c>
      <c r="C123">
        <v>3000</v>
      </c>
      <c r="D123" t="s">
        <v>248</v>
      </c>
      <c r="E123">
        <v>5</v>
      </c>
      <c r="F123">
        <v>15</v>
      </c>
      <c r="G123">
        <v>3500</v>
      </c>
    </row>
    <row r="124" spans="1:7" x14ac:dyDescent="0.25">
      <c r="A124" t="s">
        <v>233</v>
      </c>
      <c r="B124">
        <v>4</v>
      </c>
      <c r="C124">
        <v>6000</v>
      </c>
      <c r="D124" t="s">
        <v>248</v>
      </c>
      <c r="E124">
        <v>15</v>
      </c>
      <c r="F124">
        <v>20</v>
      </c>
      <c r="G124">
        <v>4000</v>
      </c>
    </row>
    <row r="125" spans="1:7" x14ac:dyDescent="0.25">
      <c r="A125" t="s">
        <v>233</v>
      </c>
      <c r="B125">
        <v>5</v>
      </c>
      <c r="C125">
        <v>13000</v>
      </c>
      <c r="D125" t="s">
        <v>248</v>
      </c>
      <c r="E125">
        <v>30</v>
      </c>
      <c r="F125">
        <v>25</v>
      </c>
      <c r="G125">
        <v>4500</v>
      </c>
    </row>
    <row r="126" spans="1:7" x14ac:dyDescent="0.25">
      <c r="A126" t="s">
        <v>233</v>
      </c>
      <c r="B126">
        <v>6</v>
      </c>
      <c r="C126">
        <v>22000</v>
      </c>
      <c r="D126" t="s">
        <v>248</v>
      </c>
      <c r="E126">
        <v>60</v>
      </c>
      <c r="F126">
        <v>30</v>
      </c>
      <c r="G126">
        <v>5500</v>
      </c>
    </row>
    <row r="127" spans="1:7" x14ac:dyDescent="0.25">
      <c r="A127" t="s">
        <v>233</v>
      </c>
      <c r="B127">
        <v>7</v>
      </c>
      <c r="C127">
        <v>38000</v>
      </c>
      <c r="D127" t="s">
        <v>248</v>
      </c>
      <c r="E127">
        <v>120</v>
      </c>
      <c r="F127">
        <v>35</v>
      </c>
      <c r="G127">
        <v>6500</v>
      </c>
    </row>
    <row r="128" spans="1:7" x14ac:dyDescent="0.25">
      <c r="A128" t="s">
        <v>233</v>
      </c>
      <c r="B128">
        <v>8</v>
      </c>
      <c r="C128">
        <v>63000</v>
      </c>
      <c r="D128" t="s">
        <v>248</v>
      </c>
      <c r="E128">
        <v>240</v>
      </c>
      <c r="F128">
        <v>40</v>
      </c>
      <c r="G128">
        <v>7500</v>
      </c>
    </row>
    <row r="129" spans="1:7" x14ac:dyDescent="0.25">
      <c r="A129" t="s">
        <v>233</v>
      </c>
      <c r="B129">
        <v>9</v>
      </c>
      <c r="C129">
        <v>110000</v>
      </c>
      <c r="D129" t="s">
        <v>248</v>
      </c>
      <c r="E129">
        <v>480</v>
      </c>
      <c r="F129">
        <v>45</v>
      </c>
      <c r="G129">
        <v>8500</v>
      </c>
    </row>
    <row r="130" spans="1:7" x14ac:dyDescent="0.25">
      <c r="A130" t="s">
        <v>233</v>
      </c>
      <c r="B130">
        <v>10</v>
      </c>
      <c r="C130">
        <v>150000</v>
      </c>
      <c r="D130" t="s">
        <v>248</v>
      </c>
      <c r="E130">
        <v>720</v>
      </c>
      <c r="F130">
        <v>50</v>
      </c>
      <c r="G130">
        <v>10000</v>
      </c>
    </row>
    <row r="131" spans="1:7" x14ac:dyDescent="0.25">
      <c r="A131" t="s">
        <v>233</v>
      </c>
      <c r="B131">
        <v>11</v>
      </c>
      <c r="C131">
        <v>270000</v>
      </c>
      <c r="D131" t="s">
        <v>248</v>
      </c>
      <c r="E131">
        <v>1440</v>
      </c>
      <c r="F131">
        <v>55</v>
      </c>
      <c r="G131">
        <v>11500</v>
      </c>
    </row>
    <row r="132" spans="1:7" x14ac:dyDescent="0.25">
      <c r="A132" t="s">
        <v>233</v>
      </c>
      <c r="B132">
        <v>12</v>
      </c>
      <c r="C132">
        <v>380000</v>
      </c>
      <c r="D132" t="s">
        <v>248</v>
      </c>
      <c r="E132">
        <v>2880</v>
      </c>
      <c r="F132">
        <v>60</v>
      </c>
      <c r="G132">
        <v>13500</v>
      </c>
    </row>
    <row r="133" spans="1:7" x14ac:dyDescent="0.25">
      <c r="A133" t="s">
        <v>233</v>
      </c>
      <c r="B133">
        <v>13</v>
      </c>
      <c r="C133">
        <v>520000</v>
      </c>
      <c r="D133" t="s">
        <v>248</v>
      </c>
      <c r="E133">
        <v>4320</v>
      </c>
      <c r="F133">
        <v>65</v>
      </c>
      <c r="G133">
        <v>15500</v>
      </c>
    </row>
    <row r="134" spans="1:7" x14ac:dyDescent="0.25">
      <c r="A134" t="s">
        <v>233</v>
      </c>
      <c r="B134">
        <v>14</v>
      </c>
      <c r="C134">
        <v>690000</v>
      </c>
      <c r="D134" t="s">
        <v>248</v>
      </c>
      <c r="E134">
        <v>5760</v>
      </c>
      <c r="F134">
        <v>70</v>
      </c>
      <c r="G134">
        <v>18000</v>
      </c>
    </row>
    <row r="135" spans="1:7" x14ac:dyDescent="0.25">
      <c r="A135" t="s">
        <v>233</v>
      </c>
      <c r="B135">
        <v>15</v>
      </c>
      <c r="C135">
        <v>890000</v>
      </c>
      <c r="D135" t="s">
        <v>248</v>
      </c>
      <c r="E135">
        <v>7200</v>
      </c>
      <c r="F135">
        <v>75</v>
      </c>
      <c r="G135">
        <v>20500</v>
      </c>
    </row>
    <row r="136" spans="1:7" x14ac:dyDescent="0.25">
      <c r="A136" t="s">
        <v>233</v>
      </c>
      <c r="B136">
        <v>16</v>
      </c>
      <c r="C136">
        <v>1300000</v>
      </c>
      <c r="D136" t="s">
        <v>248</v>
      </c>
      <c r="E136">
        <v>8640</v>
      </c>
      <c r="F136">
        <v>80</v>
      </c>
      <c r="G136">
        <v>24000</v>
      </c>
    </row>
    <row r="137" spans="1:7" x14ac:dyDescent="0.25">
      <c r="A137" t="s">
        <v>233</v>
      </c>
      <c r="B137">
        <v>17</v>
      </c>
      <c r="C137">
        <v>1800000</v>
      </c>
      <c r="D137" t="s">
        <v>248</v>
      </c>
      <c r="E137">
        <v>10080</v>
      </c>
      <c r="F137">
        <v>85</v>
      </c>
      <c r="G137">
        <v>27500</v>
      </c>
    </row>
    <row r="138" spans="1:7" x14ac:dyDescent="0.25">
      <c r="A138" t="s">
        <v>233</v>
      </c>
      <c r="B138">
        <v>18</v>
      </c>
      <c r="C138">
        <v>2400000</v>
      </c>
      <c r="D138" t="s">
        <v>248</v>
      </c>
      <c r="E138">
        <v>11520</v>
      </c>
      <c r="F138">
        <v>90</v>
      </c>
      <c r="G138">
        <v>32500</v>
      </c>
    </row>
    <row r="139" spans="1:7" x14ac:dyDescent="0.25">
      <c r="A139" t="s">
        <v>233</v>
      </c>
      <c r="B139">
        <v>19</v>
      </c>
      <c r="C139">
        <v>3000000</v>
      </c>
      <c r="D139" t="s">
        <v>248</v>
      </c>
      <c r="E139">
        <v>14400</v>
      </c>
      <c r="F139">
        <v>95</v>
      </c>
      <c r="G139">
        <v>37500</v>
      </c>
    </row>
    <row r="140" spans="1:7" x14ac:dyDescent="0.25">
      <c r="A140" t="s">
        <v>233</v>
      </c>
      <c r="B140">
        <v>20</v>
      </c>
      <c r="C140">
        <v>3600000</v>
      </c>
      <c r="D140" t="s">
        <v>248</v>
      </c>
      <c r="E140">
        <v>17280</v>
      </c>
      <c r="F140">
        <v>100</v>
      </c>
      <c r="G140">
        <v>45000</v>
      </c>
    </row>
    <row r="141" spans="1:7" x14ac:dyDescent="0.25">
      <c r="A141" t="s">
        <v>233</v>
      </c>
      <c r="B141">
        <v>21</v>
      </c>
      <c r="C141">
        <v>4100000</v>
      </c>
      <c r="D141" t="s">
        <v>248</v>
      </c>
      <c r="E141">
        <v>18720</v>
      </c>
      <c r="F141">
        <v>0</v>
      </c>
      <c r="G141">
        <v>60000</v>
      </c>
    </row>
    <row r="142" spans="1:7" x14ac:dyDescent="0.25">
      <c r="A142" t="s">
        <v>234</v>
      </c>
      <c r="B142">
        <v>1</v>
      </c>
      <c r="C142">
        <v>200</v>
      </c>
      <c r="D142" t="s">
        <v>248</v>
      </c>
      <c r="E142">
        <v>0</v>
      </c>
      <c r="F142">
        <v>5</v>
      </c>
      <c r="G142">
        <v>2700</v>
      </c>
    </row>
    <row r="143" spans="1:7" x14ac:dyDescent="0.25">
      <c r="A143" t="s">
        <v>234</v>
      </c>
      <c r="B143">
        <v>2</v>
      </c>
      <c r="C143">
        <v>1000</v>
      </c>
      <c r="D143" t="s">
        <v>248</v>
      </c>
      <c r="E143">
        <v>1</v>
      </c>
      <c r="F143">
        <v>10</v>
      </c>
      <c r="G143">
        <v>3400</v>
      </c>
    </row>
    <row r="144" spans="1:7" x14ac:dyDescent="0.25">
      <c r="A144" t="s">
        <v>234</v>
      </c>
      <c r="B144">
        <v>3</v>
      </c>
      <c r="C144">
        <v>2000</v>
      </c>
      <c r="D144" t="s">
        <v>248</v>
      </c>
      <c r="E144">
        <v>5</v>
      </c>
      <c r="F144">
        <v>15</v>
      </c>
      <c r="G144">
        <v>4100</v>
      </c>
    </row>
    <row r="145" spans="1:7" x14ac:dyDescent="0.25">
      <c r="A145" t="s">
        <v>234</v>
      </c>
      <c r="B145">
        <v>4</v>
      </c>
      <c r="C145">
        <v>3000</v>
      </c>
      <c r="D145" t="s">
        <v>248</v>
      </c>
      <c r="E145">
        <v>15</v>
      </c>
      <c r="F145">
        <v>20</v>
      </c>
      <c r="G145">
        <v>4800</v>
      </c>
    </row>
    <row r="146" spans="1:7" x14ac:dyDescent="0.25">
      <c r="A146" t="s">
        <v>234</v>
      </c>
      <c r="B146">
        <v>5</v>
      </c>
      <c r="C146">
        <v>7000</v>
      </c>
      <c r="D146" t="s">
        <v>248</v>
      </c>
      <c r="E146">
        <v>30</v>
      </c>
      <c r="F146">
        <v>25</v>
      </c>
      <c r="G146">
        <v>5500</v>
      </c>
    </row>
    <row r="147" spans="1:7" x14ac:dyDescent="0.25">
      <c r="A147" t="s">
        <v>234</v>
      </c>
      <c r="B147">
        <v>6</v>
      </c>
      <c r="C147">
        <v>12000</v>
      </c>
      <c r="D147" t="s">
        <v>248</v>
      </c>
      <c r="E147">
        <v>60</v>
      </c>
      <c r="F147">
        <v>30</v>
      </c>
      <c r="G147">
        <v>6200</v>
      </c>
    </row>
    <row r="148" spans="1:7" x14ac:dyDescent="0.25">
      <c r="A148" t="s">
        <v>234</v>
      </c>
      <c r="B148">
        <v>7</v>
      </c>
      <c r="C148">
        <v>20000</v>
      </c>
      <c r="D148" t="s">
        <v>248</v>
      </c>
      <c r="E148">
        <v>120</v>
      </c>
      <c r="F148">
        <v>35</v>
      </c>
      <c r="G148">
        <v>6900</v>
      </c>
    </row>
    <row r="149" spans="1:7" x14ac:dyDescent="0.25">
      <c r="A149" t="s">
        <v>234</v>
      </c>
      <c r="B149">
        <v>8</v>
      </c>
      <c r="C149">
        <v>40000</v>
      </c>
      <c r="D149" t="s">
        <v>248</v>
      </c>
      <c r="E149">
        <v>240</v>
      </c>
      <c r="F149">
        <v>40</v>
      </c>
      <c r="G149">
        <v>7600</v>
      </c>
    </row>
    <row r="150" spans="1:7" x14ac:dyDescent="0.25">
      <c r="A150" t="s">
        <v>234</v>
      </c>
      <c r="B150">
        <v>9</v>
      </c>
      <c r="C150">
        <v>60000</v>
      </c>
      <c r="D150" t="s">
        <v>248</v>
      </c>
      <c r="E150">
        <v>480</v>
      </c>
      <c r="F150">
        <v>45</v>
      </c>
      <c r="G150">
        <v>8300</v>
      </c>
    </row>
    <row r="151" spans="1:7" x14ac:dyDescent="0.25">
      <c r="A151" t="s">
        <v>234</v>
      </c>
      <c r="B151">
        <v>10</v>
      </c>
      <c r="C151">
        <v>80000</v>
      </c>
      <c r="D151" t="s">
        <v>248</v>
      </c>
      <c r="E151">
        <v>720</v>
      </c>
      <c r="F151">
        <v>50</v>
      </c>
      <c r="G151">
        <v>9000</v>
      </c>
    </row>
    <row r="152" spans="1:7" x14ac:dyDescent="0.25">
      <c r="A152" t="s">
        <v>235</v>
      </c>
      <c r="B152">
        <v>1</v>
      </c>
      <c r="C152">
        <v>140000</v>
      </c>
      <c r="D152" t="s">
        <v>248</v>
      </c>
      <c r="E152">
        <v>0</v>
      </c>
      <c r="F152">
        <v>10</v>
      </c>
      <c r="G152">
        <v>14000</v>
      </c>
    </row>
    <row r="153" spans="1:7" x14ac:dyDescent="0.25">
      <c r="A153" t="s">
        <v>235</v>
      </c>
      <c r="B153">
        <v>2</v>
      </c>
      <c r="C153">
        <v>190000</v>
      </c>
      <c r="D153" t="s">
        <v>248</v>
      </c>
      <c r="E153">
        <v>840</v>
      </c>
      <c r="F153">
        <v>20</v>
      </c>
      <c r="G153">
        <v>17000</v>
      </c>
    </row>
    <row r="154" spans="1:7" x14ac:dyDescent="0.25">
      <c r="A154" t="s">
        <v>235</v>
      </c>
      <c r="B154">
        <v>3</v>
      </c>
      <c r="C154">
        <v>260000</v>
      </c>
      <c r="D154" t="s">
        <v>248</v>
      </c>
      <c r="E154">
        <v>960</v>
      </c>
      <c r="F154">
        <v>30</v>
      </c>
      <c r="G154">
        <v>20000</v>
      </c>
    </row>
    <row r="155" spans="1:7" x14ac:dyDescent="0.25">
      <c r="A155" t="s">
        <v>235</v>
      </c>
      <c r="B155">
        <v>4</v>
      </c>
      <c r="C155">
        <v>350000</v>
      </c>
      <c r="D155" t="s">
        <v>248</v>
      </c>
      <c r="E155">
        <v>1200</v>
      </c>
      <c r="F155">
        <v>40</v>
      </c>
      <c r="G155">
        <v>23000</v>
      </c>
    </row>
    <row r="156" spans="1:7" x14ac:dyDescent="0.25">
      <c r="A156" t="s">
        <v>235</v>
      </c>
      <c r="B156">
        <v>5</v>
      </c>
      <c r="C156">
        <v>450000</v>
      </c>
      <c r="D156" t="s">
        <v>248</v>
      </c>
      <c r="E156">
        <v>1440</v>
      </c>
      <c r="F156">
        <v>50</v>
      </c>
      <c r="G156">
        <v>26000</v>
      </c>
    </row>
    <row r="157" spans="1:7" x14ac:dyDescent="0.25">
      <c r="A157" t="s">
        <v>235</v>
      </c>
      <c r="B157">
        <v>6</v>
      </c>
      <c r="C157">
        <v>650000</v>
      </c>
      <c r="D157" t="s">
        <v>248</v>
      </c>
      <c r="E157">
        <v>2880</v>
      </c>
      <c r="F157">
        <v>60</v>
      </c>
      <c r="G157">
        <v>29000</v>
      </c>
    </row>
    <row r="158" spans="1:7" x14ac:dyDescent="0.25">
      <c r="A158" t="s">
        <v>235</v>
      </c>
      <c r="B158">
        <v>7</v>
      </c>
      <c r="C158">
        <v>900000</v>
      </c>
      <c r="D158" t="s">
        <v>248</v>
      </c>
      <c r="E158">
        <v>5760</v>
      </c>
      <c r="F158">
        <v>70</v>
      </c>
      <c r="G158">
        <v>32000</v>
      </c>
    </row>
    <row r="159" spans="1:7" x14ac:dyDescent="0.25">
      <c r="A159" t="s">
        <v>235</v>
      </c>
      <c r="B159">
        <v>8</v>
      </c>
      <c r="C159">
        <v>1200000</v>
      </c>
      <c r="D159" t="s">
        <v>248</v>
      </c>
      <c r="E159">
        <v>11520</v>
      </c>
      <c r="F159">
        <v>80</v>
      </c>
      <c r="G159">
        <v>35000</v>
      </c>
    </row>
    <row r="160" spans="1:7" x14ac:dyDescent="0.25">
      <c r="A160" t="s">
        <v>235</v>
      </c>
      <c r="B160">
        <v>9</v>
      </c>
      <c r="C160">
        <v>1500000</v>
      </c>
      <c r="D160" t="s">
        <v>248</v>
      </c>
      <c r="E160">
        <v>17280</v>
      </c>
      <c r="F160">
        <v>90</v>
      </c>
      <c r="G160">
        <v>38000</v>
      </c>
    </row>
    <row r="161" spans="1:7" x14ac:dyDescent="0.25">
      <c r="A161" t="s">
        <v>235</v>
      </c>
      <c r="B161">
        <v>10</v>
      </c>
      <c r="C161">
        <v>1800000</v>
      </c>
      <c r="D161" t="s">
        <v>248</v>
      </c>
      <c r="E161">
        <v>23040</v>
      </c>
      <c r="F161">
        <v>100</v>
      </c>
      <c r="G161">
        <v>41000</v>
      </c>
    </row>
    <row r="162" spans="1:7" x14ac:dyDescent="0.25">
      <c r="A162" t="s">
        <v>235</v>
      </c>
      <c r="B162">
        <v>11</v>
      </c>
      <c r="C162">
        <v>2100000</v>
      </c>
      <c r="D162" t="s">
        <v>248</v>
      </c>
      <c r="E162">
        <v>28800</v>
      </c>
      <c r="F162">
        <v>110</v>
      </c>
      <c r="G162">
        <v>60000</v>
      </c>
    </row>
    <row r="163" spans="1:7" x14ac:dyDescent="0.25">
      <c r="A163" t="s">
        <v>235</v>
      </c>
      <c r="B163">
        <v>12</v>
      </c>
      <c r="C163">
        <v>2400000</v>
      </c>
      <c r="D163" t="s">
        <v>248</v>
      </c>
      <c r="E163">
        <v>34560</v>
      </c>
      <c r="F163">
        <v>120</v>
      </c>
      <c r="G163">
        <v>80000</v>
      </c>
    </row>
    <row r="164" spans="1:7" x14ac:dyDescent="0.25">
      <c r="A164" t="s">
        <v>235</v>
      </c>
      <c r="B164">
        <v>13</v>
      </c>
      <c r="C164">
        <v>2800000</v>
      </c>
      <c r="D164" t="s">
        <v>248</v>
      </c>
      <c r="E164">
        <v>40320</v>
      </c>
      <c r="F164">
        <v>130</v>
      </c>
      <c r="G164">
        <v>100000</v>
      </c>
    </row>
    <row r="165" spans="1:7" x14ac:dyDescent="0.25">
      <c r="A165" t="s">
        <v>235</v>
      </c>
      <c r="B165">
        <v>14</v>
      </c>
      <c r="C165">
        <v>3200000</v>
      </c>
      <c r="D165" t="s">
        <v>248</v>
      </c>
      <c r="E165">
        <v>46080</v>
      </c>
      <c r="F165">
        <v>140</v>
      </c>
      <c r="G165">
        <v>120000</v>
      </c>
    </row>
    <row r="166" spans="1:7" x14ac:dyDescent="0.25">
      <c r="A166" t="s">
        <v>235</v>
      </c>
      <c r="B166">
        <v>15</v>
      </c>
      <c r="C166">
        <v>3600000</v>
      </c>
      <c r="D166" t="s">
        <v>248</v>
      </c>
      <c r="E166">
        <v>51840</v>
      </c>
      <c r="F166">
        <v>150</v>
      </c>
      <c r="G166">
        <v>150000</v>
      </c>
    </row>
    <row r="167" spans="1:7" x14ac:dyDescent="0.25">
      <c r="A167" t="s">
        <v>236</v>
      </c>
      <c r="B167">
        <v>1</v>
      </c>
      <c r="C167">
        <v>140000</v>
      </c>
      <c r="D167" t="s">
        <v>248</v>
      </c>
      <c r="E167">
        <v>0</v>
      </c>
      <c r="F167">
        <v>10</v>
      </c>
      <c r="G167">
        <v>9000</v>
      </c>
    </row>
    <row r="168" spans="1:7" x14ac:dyDescent="0.25">
      <c r="A168" t="s">
        <v>236</v>
      </c>
      <c r="B168">
        <v>2</v>
      </c>
      <c r="C168">
        <v>190000</v>
      </c>
      <c r="D168" t="s">
        <v>248</v>
      </c>
      <c r="E168">
        <v>840</v>
      </c>
      <c r="F168">
        <v>20</v>
      </c>
      <c r="G168">
        <v>11000</v>
      </c>
    </row>
    <row r="169" spans="1:7" x14ac:dyDescent="0.25">
      <c r="A169" t="s">
        <v>236</v>
      </c>
      <c r="B169">
        <v>3</v>
      </c>
      <c r="C169">
        <v>260000</v>
      </c>
      <c r="D169" t="s">
        <v>248</v>
      </c>
      <c r="E169">
        <v>960</v>
      </c>
      <c r="F169">
        <v>30</v>
      </c>
      <c r="G169">
        <v>13000</v>
      </c>
    </row>
    <row r="170" spans="1:7" x14ac:dyDescent="0.25">
      <c r="A170" t="s">
        <v>236</v>
      </c>
      <c r="B170">
        <v>4</v>
      </c>
      <c r="C170">
        <v>350000</v>
      </c>
      <c r="D170" t="s">
        <v>248</v>
      </c>
      <c r="E170">
        <v>1200</v>
      </c>
      <c r="F170">
        <v>40</v>
      </c>
      <c r="G170">
        <v>15000</v>
      </c>
    </row>
    <row r="171" spans="1:7" x14ac:dyDescent="0.25">
      <c r="A171" t="s">
        <v>236</v>
      </c>
      <c r="B171">
        <v>5</v>
      </c>
      <c r="C171">
        <v>450000</v>
      </c>
      <c r="D171" t="s">
        <v>248</v>
      </c>
      <c r="E171">
        <v>1440</v>
      </c>
      <c r="F171">
        <v>50</v>
      </c>
      <c r="G171">
        <v>17000</v>
      </c>
    </row>
    <row r="172" spans="1:7" x14ac:dyDescent="0.25">
      <c r="A172" t="s">
        <v>236</v>
      </c>
      <c r="B172">
        <v>6</v>
      </c>
      <c r="C172">
        <v>650000</v>
      </c>
      <c r="D172" t="s">
        <v>248</v>
      </c>
      <c r="E172">
        <v>2880</v>
      </c>
      <c r="F172">
        <v>60</v>
      </c>
      <c r="G172">
        <v>19000</v>
      </c>
    </row>
    <row r="173" spans="1:7" x14ac:dyDescent="0.25">
      <c r="A173" t="s">
        <v>236</v>
      </c>
      <c r="B173">
        <v>7</v>
      </c>
      <c r="C173">
        <v>900000</v>
      </c>
      <c r="D173" t="s">
        <v>248</v>
      </c>
      <c r="E173">
        <v>5760</v>
      </c>
      <c r="F173">
        <v>70</v>
      </c>
      <c r="G173">
        <v>21000</v>
      </c>
    </row>
    <row r="174" spans="1:7" x14ac:dyDescent="0.25">
      <c r="A174" t="s">
        <v>236</v>
      </c>
      <c r="B174">
        <v>8</v>
      </c>
      <c r="C174">
        <v>1200000</v>
      </c>
      <c r="D174" t="s">
        <v>248</v>
      </c>
      <c r="E174">
        <v>11520</v>
      </c>
      <c r="F174">
        <v>80</v>
      </c>
      <c r="G174">
        <v>23000</v>
      </c>
    </row>
    <row r="175" spans="1:7" x14ac:dyDescent="0.25">
      <c r="A175" t="s">
        <v>236</v>
      </c>
      <c r="B175">
        <v>9</v>
      </c>
      <c r="C175">
        <v>1500000</v>
      </c>
      <c r="D175" t="s">
        <v>248</v>
      </c>
      <c r="E175">
        <v>17280</v>
      </c>
      <c r="F175">
        <v>90</v>
      </c>
      <c r="G175">
        <v>25000</v>
      </c>
    </row>
    <row r="176" spans="1:7" x14ac:dyDescent="0.25">
      <c r="A176" t="s">
        <v>236</v>
      </c>
      <c r="B176">
        <v>10</v>
      </c>
      <c r="C176">
        <v>1800000</v>
      </c>
      <c r="D176" t="s">
        <v>248</v>
      </c>
      <c r="E176">
        <v>23040</v>
      </c>
      <c r="F176">
        <v>100</v>
      </c>
      <c r="G176">
        <v>27000</v>
      </c>
    </row>
    <row r="177" spans="1:7" x14ac:dyDescent="0.25">
      <c r="A177" t="s">
        <v>236</v>
      </c>
      <c r="B177">
        <v>11</v>
      </c>
      <c r="C177">
        <v>2100000</v>
      </c>
      <c r="D177" t="s">
        <v>248</v>
      </c>
      <c r="E177">
        <v>28800</v>
      </c>
      <c r="F177">
        <v>110</v>
      </c>
      <c r="G177">
        <v>40000</v>
      </c>
    </row>
    <row r="178" spans="1:7" x14ac:dyDescent="0.25">
      <c r="A178" t="s">
        <v>236</v>
      </c>
      <c r="B178">
        <v>12</v>
      </c>
      <c r="C178">
        <v>2400000</v>
      </c>
      <c r="D178" t="s">
        <v>248</v>
      </c>
      <c r="E178">
        <v>34560</v>
      </c>
      <c r="F178">
        <v>120</v>
      </c>
      <c r="G178">
        <v>60000</v>
      </c>
    </row>
    <row r="179" spans="1:7" x14ac:dyDescent="0.25">
      <c r="A179" t="s">
        <v>236</v>
      </c>
      <c r="B179">
        <v>13</v>
      </c>
      <c r="C179">
        <v>2800000</v>
      </c>
      <c r="D179" t="s">
        <v>248</v>
      </c>
      <c r="E179">
        <v>40320</v>
      </c>
      <c r="F179">
        <v>130</v>
      </c>
      <c r="G179">
        <v>80000</v>
      </c>
    </row>
    <row r="180" spans="1:7" x14ac:dyDescent="0.25">
      <c r="A180" t="s">
        <v>236</v>
      </c>
      <c r="B180">
        <v>14</v>
      </c>
      <c r="C180">
        <v>3200000</v>
      </c>
      <c r="D180" t="s">
        <v>248</v>
      </c>
      <c r="E180">
        <v>46080</v>
      </c>
      <c r="F180">
        <v>140</v>
      </c>
      <c r="G180">
        <v>100000</v>
      </c>
    </row>
    <row r="181" spans="1:7" x14ac:dyDescent="0.25">
      <c r="A181" t="s">
        <v>236</v>
      </c>
      <c r="B181">
        <v>15</v>
      </c>
      <c r="C181">
        <v>3600000</v>
      </c>
      <c r="D181" t="s">
        <v>248</v>
      </c>
      <c r="E181">
        <v>51840</v>
      </c>
      <c r="F181">
        <v>150</v>
      </c>
      <c r="G181">
        <v>120000</v>
      </c>
    </row>
    <row r="182" spans="1:7" x14ac:dyDescent="0.25">
      <c r="A182" t="s">
        <v>237</v>
      </c>
      <c r="B182">
        <v>1</v>
      </c>
      <c r="C182">
        <v>140000</v>
      </c>
      <c r="D182" t="s">
        <v>248</v>
      </c>
      <c r="E182">
        <v>0</v>
      </c>
      <c r="F182">
        <v>10</v>
      </c>
      <c r="G182">
        <v>9000</v>
      </c>
    </row>
    <row r="183" spans="1:7" x14ac:dyDescent="0.25">
      <c r="A183" t="s">
        <v>237</v>
      </c>
      <c r="B183">
        <v>2</v>
      </c>
      <c r="C183">
        <v>190000</v>
      </c>
      <c r="D183" t="s">
        <v>248</v>
      </c>
      <c r="E183">
        <v>840</v>
      </c>
      <c r="F183">
        <v>20</v>
      </c>
      <c r="G183">
        <v>11000</v>
      </c>
    </row>
    <row r="184" spans="1:7" x14ac:dyDescent="0.25">
      <c r="A184" t="s">
        <v>237</v>
      </c>
      <c r="B184">
        <v>3</v>
      </c>
      <c r="C184">
        <v>260000</v>
      </c>
      <c r="D184" t="s">
        <v>248</v>
      </c>
      <c r="E184">
        <v>960</v>
      </c>
      <c r="F184">
        <v>30</v>
      </c>
      <c r="G184">
        <v>13000</v>
      </c>
    </row>
    <row r="185" spans="1:7" x14ac:dyDescent="0.25">
      <c r="A185" t="s">
        <v>237</v>
      </c>
      <c r="B185">
        <v>4</v>
      </c>
      <c r="C185">
        <v>350000</v>
      </c>
      <c r="D185" t="s">
        <v>248</v>
      </c>
      <c r="E185">
        <v>1200</v>
      </c>
      <c r="F185">
        <v>40</v>
      </c>
      <c r="G185">
        <v>15000</v>
      </c>
    </row>
    <row r="186" spans="1:7" x14ac:dyDescent="0.25">
      <c r="A186" t="s">
        <v>237</v>
      </c>
      <c r="B186">
        <v>5</v>
      </c>
      <c r="C186">
        <v>450000</v>
      </c>
      <c r="D186" t="s">
        <v>248</v>
      </c>
      <c r="E186">
        <v>1440</v>
      </c>
      <c r="F186">
        <v>50</v>
      </c>
      <c r="G186">
        <v>17000</v>
      </c>
    </row>
    <row r="187" spans="1:7" x14ac:dyDescent="0.25">
      <c r="A187" t="s">
        <v>237</v>
      </c>
      <c r="B187">
        <v>6</v>
      </c>
      <c r="C187">
        <v>650000</v>
      </c>
      <c r="D187" t="s">
        <v>248</v>
      </c>
      <c r="E187">
        <v>2880</v>
      </c>
      <c r="F187">
        <v>60</v>
      </c>
      <c r="G187">
        <v>19000</v>
      </c>
    </row>
    <row r="188" spans="1:7" x14ac:dyDescent="0.25">
      <c r="A188" t="s">
        <v>237</v>
      </c>
      <c r="B188">
        <v>7</v>
      </c>
      <c r="C188">
        <v>900000</v>
      </c>
      <c r="D188" t="s">
        <v>248</v>
      </c>
      <c r="E188">
        <v>5760</v>
      </c>
      <c r="F188">
        <v>70</v>
      </c>
      <c r="G188">
        <v>21000</v>
      </c>
    </row>
    <row r="189" spans="1:7" x14ac:dyDescent="0.25">
      <c r="A189" t="s">
        <v>237</v>
      </c>
      <c r="B189">
        <v>8</v>
      </c>
      <c r="C189">
        <v>1200000</v>
      </c>
      <c r="D189" t="s">
        <v>248</v>
      </c>
      <c r="E189">
        <v>11520</v>
      </c>
      <c r="F189">
        <v>80</v>
      </c>
      <c r="G189">
        <v>23000</v>
      </c>
    </row>
    <row r="190" spans="1:7" x14ac:dyDescent="0.25">
      <c r="A190" t="s">
        <v>237</v>
      </c>
      <c r="B190">
        <v>9</v>
      </c>
      <c r="C190">
        <v>1500000</v>
      </c>
      <c r="D190" t="s">
        <v>248</v>
      </c>
      <c r="E190">
        <v>17280</v>
      </c>
      <c r="F190">
        <v>90</v>
      </c>
      <c r="G190">
        <v>25000</v>
      </c>
    </row>
    <row r="191" spans="1:7" x14ac:dyDescent="0.25">
      <c r="A191" t="s">
        <v>237</v>
      </c>
      <c r="B191">
        <v>10</v>
      </c>
      <c r="C191">
        <v>1800000</v>
      </c>
      <c r="D191" t="s">
        <v>248</v>
      </c>
      <c r="E191">
        <v>23040</v>
      </c>
      <c r="F191">
        <v>100</v>
      </c>
      <c r="G191">
        <v>27000</v>
      </c>
    </row>
    <row r="192" spans="1:7" x14ac:dyDescent="0.25">
      <c r="A192" t="s">
        <v>237</v>
      </c>
      <c r="B192">
        <v>11</v>
      </c>
      <c r="C192">
        <v>2100000</v>
      </c>
      <c r="D192" t="s">
        <v>248</v>
      </c>
      <c r="E192">
        <v>28800</v>
      </c>
      <c r="F192">
        <v>110</v>
      </c>
      <c r="G192">
        <v>40000</v>
      </c>
    </row>
    <row r="193" spans="1:7" x14ac:dyDescent="0.25">
      <c r="A193" t="s">
        <v>237</v>
      </c>
      <c r="B193">
        <v>12</v>
      </c>
      <c r="C193">
        <v>2400000</v>
      </c>
      <c r="D193" t="s">
        <v>248</v>
      </c>
      <c r="E193">
        <v>34560</v>
      </c>
      <c r="F193">
        <v>120</v>
      </c>
      <c r="G193">
        <v>60000</v>
      </c>
    </row>
    <row r="194" spans="1:7" x14ac:dyDescent="0.25">
      <c r="A194" t="s">
        <v>237</v>
      </c>
      <c r="B194">
        <v>13</v>
      </c>
      <c r="C194">
        <v>2800000</v>
      </c>
      <c r="D194" t="s">
        <v>248</v>
      </c>
      <c r="E194">
        <v>40320</v>
      </c>
      <c r="F194">
        <v>130</v>
      </c>
      <c r="G194">
        <v>80000</v>
      </c>
    </row>
    <row r="195" spans="1:7" x14ac:dyDescent="0.25">
      <c r="A195" t="s">
        <v>237</v>
      </c>
      <c r="B195">
        <v>14</v>
      </c>
      <c r="C195">
        <v>3200000</v>
      </c>
      <c r="D195" t="s">
        <v>248</v>
      </c>
      <c r="E195">
        <v>46080</v>
      </c>
      <c r="F195">
        <v>140</v>
      </c>
      <c r="G195">
        <v>100000</v>
      </c>
    </row>
    <row r="196" spans="1:7" x14ac:dyDescent="0.25">
      <c r="A196" t="s">
        <v>237</v>
      </c>
      <c r="B196">
        <v>15</v>
      </c>
      <c r="C196">
        <v>3600000</v>
      </c>
      <c r="D196" t="s">
        <v>248</v>
      </c>
      <c r="E196">
        <v>51840</v>
      </c>
      <c r="F196">
        <v>150</v>
      </c>
      <c r="G196">
        <v>120000</v>
      </c>
    </row>
    <row r="197" spans="1:7" x14ac:dyDescent="0.25">
      <c r="A197" t="s">
        <v>239</v>
      </c>
      <c r="B197">
        <v>1</v>
      </c>
      <c r="C197">
        <v>240</v>
      </c>
      <c r="D197" t="s">
        <v>249</v>
      </c>
      <c r="E197">
        <v>0</v>
      </c>
      <c r="F197">
        <v>3</v>
      </c>
      <c r="G197">
        <v>2500</v>
      </c>
    </row>
    <row r="198" spans="1:7" x14ac:dyDescent="0.25">
      <c r="A198" t="s">
        <v>239</v>
      </c>
      <c r="B198">
        <v>2</v>
      </c>
      <c r="C198">
        <v>1100</v>
      </c>
      <c r="D198" t="s">
        <v>249</v>
      </c>
      <c r="E198">
        <v>1</v>
      </c>
      <c r="F198">
        <v>6</v>
      </c>
      <c r="G198">
        <v>3000</v>
      </c>
    </row>
    <row r="199" spans="1:7" x14ac:dyDescent="0.25">
      <c r="A199" t="s">
        <v>239</v>
      </c>
      <c r="B199">
        <v>3</v>
      </c>
      <c r="C199">
        <v>3000</v>
      </c>
      <c r="D199" t="s">
        <v>249</v>
      </c>
      <c r="E199">
        <v>5</v>
      </c>
      <c r="F199">
        <v>9</v>
      </c>
      <c r="G199">
        <v>3500</v>
      </c>
    </row>
    <row r="200" spans="1:7" x14ac:dyDescent="0.25">
      <c r="A200" t="s">
        <v>239</v>
      </c>
      <c r="B200">
        <v>4</v>
      </c>
      <c r="C200">
        <v>6000</v>
      </c>
      <c r="D200" t="s">
        <v>249</v>
      </c>
      <c r="E200">
        <v>15</v>
      </c>
      <c r="F200">
        <v>12</v>
      </c>
      <c r="G200">
        <v>4000</v>
      </c>
    </row>
    <row r="201" spans="1:7" x14ac:dyDescent="0.25">
      <c r="A201" t="s">
        <v>239</v>
      </c>
      <c r="B201">
        <v>5</v>
      </c>
      <c r="C201">
        <v>13000</v>
      </c>
      <c r="D201" t="s">
        <v>249</v>
      </c>
      <c r="E201">
        <v>30</v>
      </c>
      <c r="F201">
        <v>15</v>
      </c>
      <c r="G201">
        <v>4500</v>
      </c>
    </row>
    <row r="202" spans="1:7" x14ac:dyDescent="0.25">
      <c r="A202" t="s">
        <v>239</v>
      </c>
      <c r="B202">
        <v>6</v>
      </c>
      <c r="C202">
        <v>22000</v>
      </c>
      <c r="D202" t="s">
        <v>249</v>
      </c>
      <c r="E202">
        <v>60</v>
      </c>
      <c r="F202">
        <v>18</v>
      </c>
      <c r="G202">
        <v>5500</v>
      </c>
    </row>
    <row r="203" spans="1:7" x14ac:dyDescent="0.25">
      <c r="A203" t="s">
        <v>239</v>
      </c>
      <c r="B203">
        <v>7</v>
      </c>
      <c r="C203">
        <v>38000</v>
      </c>
      <c r="D203" t="s">
        <v>249</v>
      </c>
      <c r="E203">
        <v>120</v>
      </c>
      <c r="F203">
        <v>21</v>
      </c>
      <c r="G203">
        <v>6500</v>
      </c>
    </row>
    <row r="204" spans="1:7" x14ac:dyDescent="0.25">
      <c r="A204" t="s">
        <v>239</v>
      </c>
      <c r="B204">
        <v>8</v>
      </c>
      <c r="C204">
        <v>63000</v>
      </c>
      <c r="D204" t="s">
        <v>249</v>
      </c>
      <c r="E204">
        <v>240</v>
      </c>
      <c r="F204">
        <v>24</v>
      </c>
      <c r="G204">
        <v>7500</v>
      </c>
    </row>
    <row r="205" spans="1:7" x14ac:dyDescent="0.25">
      <c r="A205" t="s">
        <v>239</v>
      </c>
      <c r="B205">
        <v>9</v>
      </c>
      <c r="C205">
        <v>110000</v>
      </c>
      <c r="D205" t="s">
        <v>249</v>
      </c>
      <c r="E205">
        <v>480</v>
      </c>
      <c r="F205">
        <v>27</v>
      </c>
      <c r="G205">
        <v>8500</v>
      </c>
    </row>
    <row r="206" spans="1:7" x14ac:dyDescent="0.25">
      <c r="A206" t="s">
        <v>239</v>
      </c>
      <c r="B206">
        <v>10</v>
      </c>
      <c r="C206">
        <v>150000</v>
      </c>
      <c r="D206" t="s">
        <v>249</v>
      </c>
      <c r="E206">
        <v>720</v>
      </c>
      <c r="F206">
        <v>30</v>
      </c>
      <c r="G206">
        <v>10000</v>
      </c>
    </row>
    <row r="207" spans="1:7" x14ac:dyDescent="0.25">
      <c r="A207" t="s">
        <v>239</v>
      </c>
      <c r="B207">
        <v>11</v>
      </c>
      <c r="C207">
        <v>270000</v>
      </c>
      <c r="D207" t="s">
        <v>249</v>
      </c>
      <c r="E207">
        <v>1440</v>
      </c>
      <c r="F207">
        <v>33</v>
      </c>
      <c r="G207">
        <v>11500</v>
      </c>
    </row>
    <row r="208" spans="1:7" x14ac:dyDescent="0.25">
      <c r="A208" t="s">
        <v>239</v>
      </c>
      <c r="B208">
        <v>12</v>
      </c>
      <c r="C208">
        <v>380000</v>
      </c>
      <c r="D208" t="s">
        <v>249</v>
      </c>
      <c r="E208">
        <v>2880</v>
      </c>
      <c r="F208">
        <v>36</v>
      </c>
      <c r="G208">
        <v>13500</v>
      </c>
    </row>
    <row r="209" spans="1:7" x14ac:dyDescent="0.25">
      <c r="A209" t="s">
        <v>239</v>
      </c>
      <c r="B209">
        <v>13</v>
      </c>
      <c r="C209">
        <v>520000</v>
      </c>
      <c r="D209" t="s">
        <v>249</v>
      </c>
      <c r="E209">
        <v>4320</v>
      </c>
      <c r="F209">
        <v>39</v>
      </c>
      <c r="G209">
        <v>15500</v>
      </c>
    </row>
    <row r="210" spans="1:7" x14ac:dyDescent="0.25">
      <c r="A210" t="s">
        <v>239</v>
      </c>
      <c r="B210">
        <v>14</v>
      </c>
      <c r="C210">
        <v>690000</v>
      </c>
      <c r="D210" t="s">
        <v>249</v>
      </c>
      <c r="E210">
        <v>5760</v>
      </c>
      <c r="F210">
        <v>42</v>
      </c>
      <c r="G210">
        <v>18000</v>
      </c>
    </row>
    <row r="211" spans="1:7" x14ac:dyDescent="0.25">
      <c r="A211" t="s">
        <v>239</v>
      </c>
      <c r="B211">
        <v>15</v>
      </c>
      <c r="C211">
        <v>890000</v>
      </c>
      <c r="D211" t="s">
        <v>249</v>
      </c>
      <c r="E211">
        <v>7200</v>
      </c>
      <c r="F211">
        <v>45</v>
      </c>
      <c r="G211">
        <v>20500</v>
      </c>
    </row>
    <row r="212" spans="1:7" x14ac:dyDescent="0.25">
      <c r="A212" t="s">
        <v>239</v>
      </c>
      <c r="B212">
        <v>16</v>
      </c>
      <c r="C212">
        <v>1300000</v>
      </c>
      <c r="D212" t="s">
        <v>249</v>
      </c>
      <c r="E212">
        <v>8640</v>
      </c>
      <c r="F212">
        <v>48</v>
      </c>
      <c r="G212">
        <v>24000</v>
      </c>
    </row>
    <row r="213" spans="1:7" x14ac:dyDescent="0.25">
      <c r="A213" t="s">
        <v>239</v>
      </c>
      <c r="B213">
        <v>17</v>
      </c>
      <c r="C213">
        <v>1800000</v>
      </c>
      <c r="D213" t="s">
        <v>249</v>
      </c>
      <c r="E213">
        <v>10080</v>
      </c>
      <c r="F213">
        <v>51</v>
      </c>
      <c r="G213">
        <v>27500</v>
      </c>
    </row>
    <row r="214" spans="1:7" x14ac:dyDescent="0.25">
      <c r="A214" t="s">
        <v>239</v>
      </c>
      <c r="B214">
        <v>18</v>
      </c>
      <c r="C214">
        <v>2400000</v>
      </c>
      <c r="D214" t="s">
        <v>249</v>
      </c>
      <c r="E214">
        <v>11520</v>
      </c>
      <c r="F214">
        <v>54</v>
      </c>
      <c r="G214">
        <v>32500</v>
      </c>
    </row>
    <row r="215" spans="1:7" x14ac:dyDescent="0.25">
      <c r="A215" t="s">
        <v>239</v>
      </c>
      <c r="B215">
        <v>19</v>
      </c>
      <c r="C215">
        <v>3000000</v>
      </c>
      <c r="D215" t="s">
        <v>249</v>
      </c>
      <c r="E215">
        <v>14400</v>
      </c>
      <c r="F215">
        <v>57</v>
      </c>
      <c r="G215">
        <v>37500</v>
      </c>
    </row>
    <row r="216" spans="1:7" x14ac:dyDescent="0.25">
      <c r="A216" t="s">
        <v>239</v>
      </c>
      <c r="B216">
        <v>20</v>
      </c>
      <c r="C216">
        <v>3600000</v>
      </c>
      <c r="D216" t="s">
        <v>249</v>
      </c>
      <c r="E216">
        <v>17280</v>
      </c>
      <c r="F216">
        <v>60</v>
      </c>
      <c r="G216">
        <v>45000</v>
      </c>
    </row>
    <row r="217" spans="1:7" x14ac:dyDescent="0.25">
      <c r="A217" t="s">
        <v>239</v>
      </c>
      <c r="B217">
        <v>21</v>
      </c>
      <c r="C217">
        <v>410000</v>
      </c>
      <c r="D217" t="s">
        <v>249</v>
      </c>
      <c r="E217">
        <v>20160</v>
      </c>
      <c r="F217">
        <v>63</v>
      </c>
      <c r="G217">
        <v>52500</v>
      </c>
    </row>
    <row r="218" spans="1:7" x14ac:dyDescent="0.25">
      <c r="A218" t="s">
        <v>239</v>
      </c>
      <c r="B218">
        <v>22</v>
      </c>
      <c r="C218">
        <v>4700000</v>
      </c>
      <c r="D218" t="s">
        <v>249</v>
      </c>
      <c r="E218">
        <v>23040</v>
      </c>
      <c r="F218">
        <v>66</v>
      </c>
      <c r="G218">
        <v>60000</v>
      </c>
    </row>
    <row r="219" spans="1:7" x14ac:dyDescent="0.25">
      <c r="A219" t="s">
        <v>239</v>
      </c>
      <c r="B219">
        <v>23</v>
      </c>
      <c r="C219">
        <v>5200000</v>
      </c>
      <c r="D219" t="s">
        <v>249</v>
      </c>
      <c r="E219">
        <v>25920</v>
      </c>
      <c r="F219">
        <v>69</v>
      </c>
      <c r="G219">
        <v>70000</v>
      </c>
    </row>
    <row r="220" spans="1:7" x14ac:dyDescent="0.25">
      <c r="A220" t="s">
        <v>239</v>
      </c>
      <c r="B220">
        <v>24</v>
      </c>
      <c r="C220">
        <v>5700000</v>
      </c>
      <c r="D220" t="s">
        <v>249</v>
      </c>
      <c r="E220">
        <v>28800</v>
      </c>
      <c r="F220">
        <v>72</v>
      </c>
      <c r="G220">
        <v>80000</v>
      </c>
    </row>
    <row r="221" spans="1:7" x14ac:dyDescent="0.25">
      <c r="A221" t="s">
        <v>239</v>
      </c>
      <c r="B221">
        <v>25</v>
      </c>
      <c r="C221">
        <v>6200000</v>
      </c>
      <c r="D221" t="s">
        <v>249</v>
      </c>
      <c r="E221">
        <v>31680</v>
      </c>
      <c r="F221">
        <v>75</v>
      </c>
      <c r="G221">
        <v>90000</v>
      </c>
    </row>
    <row r="222" spans="1:7" x14ac:dyDescent="0.25">
      <c r="A222" t="s">
        <v>238</v>
      </c>
      <c r="B222">
        <v>1</v>
      </c>
      <c r="C222">
        <v>240</v>
      </c>
      <c r="D222" t="s">
        <v>248</v>
      </c>
      <c r="E222">
        <v>0</v>
      </c>
      <c r="F222">
        <v>3</v>
      </c>
      <c r="G222">
        <v>2500</v>
      </c>
    </row>
    <row r="223" spans="1:7" x14ac:dyDescent="0.25">
      <c r="A223" t="s">
        <v>238</v>
      </c>
      <c r="B223">
        <v>2</v>
      </c>
      <c r="C223">
        <v>1100</v>
      </c>
      <c r="D223" t="s">
        <v>248</v>
      </c>
      <c r="E223">
        <v>1</v>
      </c>
      <c r="F223">
        <v>6</v>
      </c>
      <c r="G223">
        <v>3000</v>
      </c>
    </row>
    <row r="224" spans="1:7" x14ac:dyDescent="0.25">
      <c r="A224" t="s">
        <v>238</v>
      </c>
      <c r="B224">
        <v>3</v>
      </c>
      <c r="C224">
        <v>3000</v>
      </c>
      <c r="D224" t="s">
        <v>248</v>
      </c>
      <c r="E224">
        <v>5</v>
      </c>
      <c r="F224">
        <v>9</v>
      </c>
      <c r="G224">
        <v>3500</v>
      </c>
    </row>
    <row r="225" spans="1:7" x14ac:dyDescent="0.25">
      <c r="A225" t="s">
        <v>238</v>
      </c>
      <c r="B225">
        <v>4</v>
      </c>
      <c r="C225">
        <v>6000</v>
      </c>
      <c r="D225" t="s">
        <v>248</v>
      </c>
      <c r="E225">
        <v>15</v>
      </c>
      <c r="F225">
        <v>12</v>
      </c>
      <c r="G225">
        <v>4000</v>
      </c>
    </row>
    <row r="226" spans="1:7" x14ac:dyDescent="0.25">
      <c r="A226" t="s">
        <v>238</v>
      </c>
      <c r="B226">
        <v>5</v>
      </c>
      <c r="C226">
        <v>13000</v>
      </c>
      <c r="D226" t="s">
        <v>248</v>
      </c>
      <c r="E226">
        <v>30</v>
      </c>
      <c r="F226">
        <v>15</v>
      </c>
      <c r="G226">
        <v>4500</v>
      </c>
    </row>
    <row r="227" spans="1:7" x14ac:dyDescent="0.25">
      <c r="A227" t="s">
        <v>238</v>
      </c>
      <c r="B227">
        <v>6</v>
      </c>
      <c r="C227">
        <v>22000</v>
      </c>
      <c r="D227" t="s">
        <v>248</v>
      </c>
      <c r="E227">
        <v>60</v>
      </c>
      <c r="F227">
        <v>18</v>
      </c>
      <c r="G227">
        <v>5500</v>
      </c>
    </row>
    <row r="228" spans="1:7" x14ac:dyDescent="0.25">
      <c r="A228" t="s">
        <v>238</v>
      </c>
      <c r="B228">
        <v>7</v>
      </c>
      <c r="C228">
        <v>38000</v>
      </c>
      <c r="D228" t="s">
        <v>248</v>
      </c>
      <c r="E228">
        <v>120</v>
      </c>
      <c r="F228">
        <v>21</v>
      </c>
      <c r="G228">
        <v>6500</v>
      </c>
    </row>
    <row r="229" spans="1:7" x14ac:dyDescent="0.25">
      <c r="A229" t="s">
        <v>238</v>
      </c>
      <c r="B229">
        <v>8</v>
      </c>
      <c r="C229">
        <v>63000</v>
      </c>
      <c r="D229" t="s">
        <v>248</v>
      </c>
      <c r="E229">
        <v>240</v>
      </c>
      <c r="F229">
        <v>24</v>
      </c>
      <c r="G229">
        <v>7500</v>
      </c>
    </row>
    <row r="230" spans="1:7" x14ac:dyDescent="0.25">
      <c r="A230" t="s">
        <v>238</v>
      </c>
      <c r="B230">
        <v>9</v>
      </c>
      <c r="C230">
        <v>110000</v>
      </c>
      <c r="D230" t="s">
        <v>248</v>
      </c>
      <c r="E230">
        <v>480</v>
      </c>
      <c r="F230">
        <v>27</v>
      </c>
      <c r="G230">
        <v>8500</v>
      </c>
    </row>
    <row r="231" spans="1:7" x14ac:dyDescent="0.25">
      <c r="A231" t="s">
        <v>238</v>
      </c>
      <c r="B231">
        <v>10</v>
      </c>
      <c r="C231">
        <v>150000</v>
      </c>
      <c r="D231" t="s">
        <v>248</v>
      </c>
      <c r="E231">
        <v>720</v>
      </c>
      <c r="F231">
        <v>30</v>
      </c>
      <c r="G231">
        <v>10000</v>
      </c>
    </row>
    <row r="232" spans="1:7" x14ac:dyDescent="0.25">
      <c r="A232" t="s">
        <v>238</v>
      </c>
      <c r="B232">
        <v>11</v>
      </c>
      <c r="C232">
        <v>270000</v>
      </c>
      <c r="D232" t="s">
        <v>248</v>
      </c>
      <c r="E232">
        <v>1440</v>
      </c>
      <c r="F232">
        <v>33</v>
      </c>
      <c r="G232">
        <v>11500</v>
      </c>
    </row>
    <row r="233" spans="1:7" x14ac:dyDescent="0.25">
      <c r="A233" t="s">
        <v>238</v>
      </c>
      <c r="B233">
        <v>12</v>
      </c>
      <c r="C233">
        <v>380000</v>
      </c>
      <c r="D233" t="s">
        <v>248</v>
      </c>
      <c r="E233">
        <v>2880</v>
      </c>
      <c r="F233">
        <v>36</v>
      </c>
      <c r="G233">
        <v>13500</v>
      </c>
    </row>
    <row r="234" spans="1:7" x14ac:dyDescent="0.25">
      <c r="A234" t="s">
        <v>238</v>
      </c>
      <c r="B234">
        <v>13</v>
      </c>
      <c r="C234">
        <v>520000</v>
      </c>
      <c r="D234" t="s">
        <v>248</v>
      </c>
      <c r="E234">
        <v>4320</v>
      </c>
      <c r="F234">
        <v>39</v>
      </c>
      <c r="G234">
        <v>15500</v>
      </c>
    </row>
    <row r="235" spans="1:7" x14ac:dyDescent="0.25">
      <c r="A235" t="s">
        <v>238</v>
      </c>
      <c r="B235">
        <v>14</v>
      </c>
      <c r="C235">
        <v>690000</v>
      </c>
      <c r="D235" t="s">
        <v>248</v>
      </c>
      <c r="E235">
        <v>5760</v>
      </c>
      <c r="F235">
        <v>42</v>
      </c>
      <c r="G235">
        <v>18000</v>
      </c>
    </row>
    <row r="236" spans="1:7" x14ac:dyDescent="0.25">
      <c r="A236" t="s">
        <v>238</v>
      </c>
      <c r="B236">
        <v>15</v>
      </c>
      <c r="C236">
        <v>890000</v>
      </c>
      <c r="D236" t="s">
        <v>248</v>
      </c>
      <c r="E236">
        <v>7200</v>
      </c>
      <c r="F236">
        <v>45</v>
      </c>
      <c r="G236">
        <v>20500</v>
      </c>
    </row>
    <row r="237" spans="1:7" x14ac:dyDescent="0.25">
      <c r="A237" t="s">
        <v>238</v>
      </c>
      <c r="B237">
        <v>16</v>
      </c>
      <c r="C237">
        <v>1300000</v>
      </c>
      <c r="D237" t="s">
        <v>248</v>
      </c>
      <c r="E237">
        <v>8640</v>
      </c>
      <c r="F237">
        <v>48</v>
      </c>
      <c r="G237">
        <v>24000</v>
      </c>
    </row>
    <row r="238" spans="1:7" x14ac:dyDescent="0.25">
      <c r="A238" t="s">
        <v>238</v>
      </c>
      <c r="B238">
        <v>17</v>
      </c>
      <c r="C238">
        <v>1800000</v>
      </c>
      <c r="D238" t="s">
        <v>248</v>
      </c>
      <c r="E238">
        <v>10080</v>
      </c>
      <c r="F238">
        <v>51</v>
      </c>
      <c r="G238">
        <v>27500</v>
      </c>
    </row>
    <row r="239" spans="1:7" x14ac:dyDescent="0.25">
      <c r="A239" t="s">
        <v>238</v>
      </c>
      <c r="B239">
        <v>18</v>
      </c>
      <c r="C239">
        <v>2400000</v>
      </c>
      <c r="D239" t="s">
        <v>248</v>
      </c>
      <c r="E239">
        <v>11520</v>
      </c>
      <c r="F239">
        <v>54</v>
      </c>
      <c r="G239">
        <v>32500</v>
      </c>
    </row>
    <row r="240" spans="1:7" x14ac:dyDescent="0.25">
      <c r="A240" t="s">
        <v>238</v>
      </c>
      <c r="B240">
        <v>19</v>
      </c>
      <c r="C240">
        <v>3000000</v>
      </c>
      <c r="D240" t="s">
        <v>248</v>
      </c>
      <c r="E240">
        <v>14400</v>
      </c>
      <c r="F240">
        <v>57</v>
      </c>
      <c r="G240">
        <v>37500</v>
      </c>
    </row>
    <row r="241" spans="1:7" x14ac:dyDescent="0.25">
      <c r="A241" t="s">
        <v>238</v>
      </c>
      <c r="B241">
        <v>20</v>
      </c>
      <c r="C241">
        <v>3600000</v>
      </c>
      <c r="D241" t="s">
        <v>248</v>
      </c>
      <c r="E241">
        <v>17280</v>
      </c>
      <c r="F241">
        <v>60</v>
      </c>
      <c r="G241">
        <v>45000</v>
      </c>
    </row>
    <row r="242" spans="1:7" x14ac:dyDescent="0.25">
      <c r="A242" t="s">
        <v>238</v>
      </c>
      <c r="B242">
        <v>21</v>
      </c>
      <c r="C242">
        <v>410000</v>
      </c>
      <c r="D242" t="s">
        <v>248</v>
      </c>
      <c r="E242">
        <v>20160</v>
      </c>
      <c r="F242">
        <v>63</v>
      </c>
      <c r="G242">
        <v>52500</v>
      </c>
    </row>
    <row r="243" spans="1:7" x14ac:dyDescent="0.25">
      <c r="A243" t="s">
        <v>238</v>
      </c>
      <c r="B243">
        <v>22</v>
      </c>
      <c r="C243">
        <v>4700000</v>
      </c>
      <c r="D243" t="s">
        <v>248</v>
      </c>
      <c r="E243">
        <v>23040</v>
      </c>
      <c r="F243">
        <v>66</v>
      </c>
      <c r="G243">
        <v>60000</v>
      </c>
    </row>
    <row r="244" spans="1:7" x14ac:dyDescent="0.25">
      <c r="A244" t="s">
        <v>238</v>
      </c>
      <c r="B244">
        <v>23</v>
      </c>
      <c r="C244">
        <v>5200000</v>
      </c>
      <c r="D244" t="s">
        <v>248</v>
      </c>
      <c r="E244">
        <v>25920</v>
      </c>
      <c r="F244">
        <v>69</v>
      </c>
      <c r="G244">
        <v>70000</v>
      </c>
    </row>
    <row r="245" spans="1:7" x14ac:dyDescent="0.25">
      <c r="A245" t="s">
        <v>238</v>
      </c>
      <c r="B245">
        <v>24</v>
      </c>
      <c r="C245">
        <v>5700000</v>
      </c>
      <c r="D245" t="s">
        <v>248</v>
      </c>
      <c r="E245">
        <v>28800</v>
      </c>
      <c r="F245">
        <v>72</v>
      </c>
      <c r="G245">
        <v>80000</v>
      </c>
    </row>
    <row r="246" spans="1:7" x14ac:dyDescent="0.25">
      <c r="A246" t="s">
        <v>238</v>
      </c>
      <c r="B246">
        <v>25</v>
      </c>
      <c r="C246">
        <v>6200000</v>
      </c>
      <c r="D246" t="s">
        <v>248</v>
      </c>
      <c r="E246">
        <v>31680</v>
      </c>
      <c r="F246">
        <v>75</v>
      </c>
      <c r="G246">
        <v>90000</v>
      </c>
    </row>
    <row r="247" spans="1:7" x14ac:dyDescent="0.25">
      <c r="A247" t="s">
        <v>240</v>
      </c>
      <c r="B247">
        <v>1</v>
      </c>
      <c r="C247">
        <v>240</v>
      </c>
      <c r="D247" t="s">
        <v>249</v>
      </c>
      <c r="E247">
        <v>0</v>
      </c>
      <c r="F247">
        <v>3</v>
      </c>
      <c r="G247">
        <v>2500</v>
      </c>
    </row>
    <row r="248" spans="1:7" x14ac:dyDescent="0.25">
      <c r="A248" t="s">
        <v>240</v>
      </c>
      <c r="B248">
        <v>2</v>
      </c>
      <c r="C248">
        <v>1100</v>
      </c>
      <c r="D248" t="s">
        <v>249</v>
      </c>
      <c r="E248">
        <v>1</v>
      </c>
      <c r="F248">
        <v>6</v>
      </c>
      <c r="G248">
        <v>3000</v>
      </c>
    </row>
    <row r="249" spans="1:7" x14ac:dyDescent="0.25">
      <c r="A249" t="s">
        <v>240</v>
      </c>
      <c r="B249">
        <v>3</v>
      </c>
      <c r="C249">
        <v>3000</v>
      </c>
      <c r="D249" t="s">
        <v>249</v>
      </c>
      <c r="E249">
        <v>5</v>
      </c>
      <c r="F249">
        <v>9</v>
      </c>
      <c r="G249">
        <v>3500</v>
      </c>
    </row>
    <row r="250" spans="1:7" x14ac:dyDescent="0.25">
      <c r="A250" t="s">
        <v>240</v>
      </c>
      <c r="B250">
        <v>4</v>
      </c>
      <c r="C250">
        <v>6000</v>
      </c>
      <c r="D250" t="s">
        <v>249</v>
      </c>
      <c r="E250">
        <v>15</v>
      </c>
      <c r="F250">
        <v>12</v>
      </c>
      <c r="G250">
        <v>4000</v>
      </c>
    </row>
    <row r="251" spans="1:7" x14ac:dyDescent="0.25">
      <c r="A251" t="s">
        <v>240</v>
      </c>
      <c r="B251">
        <v>5</v>
      </c>
      <c r="C251">
        <v>13000</v>
      </c>
      <c r="D251" t="s">
        <v>249</v>
      </c>
      <c r="E251">
        <v>30</v>
      </c>
      <c r="F251">
        <v>15</v>
      </c>
      <c r="G251">
        <v>4500</v>
      </c>
    </row>
    <row r="252" spans="1:7" x14ac:dyDescent="0.25">
      <c r="A252" t="s">
        <v>240</v>
      </c>
      <c r="B252">
        <v>6</v>
      </c>
      <c r="C252">
        <v>22000</v>
      </c>
      <c r="D252" t="s">
        <v>249</v>
      </c>
      <c r="E252">
        <v>60</v>
      </c>
      <c r="F252">
        <v>18</v>
      </c>
      <c r="G252">
        <v>5500</v>
      </c>
    </row>
    <row r="253" spans="1:7" x14ac:dyDescent="0.25">
      <c r="A253" t="s">
        <v>240</v>
      </c>
      <c r="B253">
        <v>7</v>
      </c>
      <c r="C253">
        <v>38000</v>
      </c>
      <c r="D253" t="s">
        <v>249</v>
      </c>
      <c r="E253">
        <v>120</v>
      </c>
      <c r="F253">
        <v>21</v>
      </c>
      <c r="G253">
        <v>6500</v>
      </c>
    </row>
    <row r="254" spans="1:7" x14ac:dyDescent="0.25">
      <c r="A254" t="s">
        <v>240</v>
      </c>
      <c r="B254">
        <v>8</v>
      </c>
      <c r="C254">
        <v>63000</v>
      </c>
      <c r="D254" t="s">
        <v>249</v>
      </c>
      <c r="E254">
        <v>240</v>
      </c>
      <c r="F254">
        <v>24</v>
      </c>
      <c r="G254">
        <v>7500</v>
      </c>
    </row>
    <row r="255" spans="1:7" x14ac:dyDescent="0.25">
      <c r="A255" t="s">
        <v>240</v>
      </c>
      <c r="B255">
        <v>9</v>
      </c>
      <c r="C255">
        <v>110000</v>
      </c>
      <c r="D255" t="s">
        <v>249</v>
      </c>
      <c r="E255">
        <v>480</v>
      </c>
      <c r="F255">
        <v>27</v>
      </c>
      <c r="G255">
        <v>8500</v>
      </c>
    </row>
    <row r="256" spans="1:7" x14ac:dyDescent="0.25">
      <c r="A256" t="s">
        <v>240</v>
      </c>
      <c r="B256">
        <v>10</v>
      </c>
      <c r="C256">
        <v>150000</v>
      </c>
      <c r="D256" t="s">
        <v>249</v>
      </c>
      <c r="E256">
        <v>720</v>
      </c>
      <c r="F256">
        <v>30</v>
      </c>
      <c r="G256">
        <v>10000</v>
      </c>
    </row>
    <row r="257" spans="1:7" x14ac:dyDescent="0.25">
      <c r="A257" t="s">
        <v>240</v>
      </c>
      <c r="B257">
        <v>11</v>
      </c>
      <c r="C257">
        <v>270000</v>
      </c>
      <c r="D257" t="s">
        <v>249</v>
      </c>
      <c r="E257">
        <v>1440</v>
      </c>
      <c r="F257">
        <v>33</v>
      </c>
      <c r="G257">
        <v>11500</v>
      </c>
    </row>
    <row r="258" spans="1:7" x14ac:dyDescent="0.25">
      <c r="A258" t="s">
        <v>240</v>
      </c>
      <c r="B258">
        <v>12</v>
      </c>
      <c r="C258">
        <v>380000</v>
      </c>
      <c r="D258" t="s">
        <v>249</v>
      </c>
      <c r="E258">
        <v>2880</v>
      </c>
      <c r="F258">
        <v>36</v>
      </c>
      <c r="G258">
        <v>13500</v>
      </c>
    </row>
    <row r="259" spans="1:7" x14ac:dyDescent="0.25">
      <c r="A259" t="s">
        <v>240</v>
      </c>
      <c r="B259">
        <v>13</v>
      </c>
      <c r="C259">
        <v>520000</v>
      </c>
      <c r="D259" t="s">
        <v>249</v>
      </c>
      <c r="E259">
        <v>4320</v>
      </c>
      <c r="F259">
        <v>39</v>
      </c>
      <c r="G259">
        <v>15500</v>
      </c>
    </row>
    <row r="260" spans="1:7" x14ac:dyDescent="0.25">
      <c r="A260" t="s">
        <v>240</v>
      </c>
      <c r="B260">
        <v>14</v>
      </c>
      <c r="C260">
        <v>690000</v>
      </c>
      <c r="D260" t="s">
        <v>249</v>
      </c>
      <c r="E260">
        <v>5760</v>
      </c>
      <c r="F260">
        <v>42</v>
      </c>
      <c r="G260">
        <v>18000</v>
      </c>
    </row>
    <row r="261" spans="1:7" x14ac:dyDescent="0.25">
      <c r="A261" t="s">
        <v>240</v>
      </c>
      <c r="B261">
        <v>15</v>
      </c>
      <c r="C261">
        <v>890000</v>
      </c>
      <c r="D261" t="s">
        <v>249</v>
      </c>
      <c r="E261">
        <v>7200</v>
      </c>
      <c r="F261">
        <v>45</v>
      </c>
      <c r="G261">
        <v>20500</v>
      </c>
    </row>
    <row r="262" spans="1:7" x14ac:dyDescent="0.25">
      <c r="A262" t="s">
        <v>240</v>
      </c>
      <c r="B262">
        <v>16</v>
      </c>
      <c r="C262">
        <v>1300000</v>
      </c>
      <c r="D262" t="s">
        <v>249</v>
      </c>
      <c r="E262">
        <v>8640</v>
      </c>
      <c r="F262">
        <v>48</v>
      </c>
      <c r="G262">
        <v>24000</v>
      </c>
    </row>
    <row r="263" spans="1:7" x14ac:dyDescent="0.25">
      <c r="A263" t="s">
        <v>240</v>
      </c>
      <c r="B263">
        <v>17</v>
      </c>
      <c r="C263">
        <v>1800000</v>
      </c>
      <c r="D263" t="s">
        <v>249</v>
      </c>
      <c r="E263">
        <v>10080</v>
      </c>
      <c r="F263">
        <v>51</v>
      </c>
      <c r="G263">
        <v>27500</v>
      </c>
    </row>
    <row r="264" spans="1:7" x14ac:dyDescent="0.25">
      <c r="A264" t="s">
        <v>240</v>
      </c>
      <c r="B264">
        <v>18</v>
      </c>
      <c r="C264">
        <v>2400000</v>
      </c>
      <c r="D264" t="s">
        <v>249</v>
      </c>
      <c r="E264">
        <v>11520</v>
      </c>
      <c r="F264">
        <v>54</v>
      </c>
      <c r="G264">
        <v>32500</v>
      </c>
    </row>
    <row r="265" spans="1:7" x14ac:dyDescent="0.25">
      <c r="A265" t="s">
        <v>240</v>
      </c>
      <c r="B265">
        <v>19</v>
      </c>
      <c r="C265">
        <v>3000000</v>
      </c>
      <c r="D265" t="s">
        <v>249</v>
      </c>
      <c r="E265">
        <v>14400</v>
      </c>
      <c r="F265">
        <v>57</v>
      </c>
      <c r="G265">
        <v>37500</v>
      </c>
    </row>
    <row r="266" spans="1:7" x14ac:dyDescent="0.25">
      <c r="A266" t="s">
        <v>240</v>
      </c>
      <c r="B266">
        <v>20</v>
      </c>
      <c r="C266">
        <v>3600000</v>
      </c>
      <c r="D266" t="s">
        <v>249</v>
      </c>
      <c r="E266">
        <v>17280</v>
      </c>
      <c r="F266">
        <v>60</v>
      </c>
      <c r="G266">
        <v>45000</v>
      </c>
    </row>
    <row r="267" spans="1:7" x14ac:dyDescent="0.25">
      <c r="A267" t="s">
        <v>240</v>
      </c>
      <c r="B267">
        <v>21</v>
      </c>
      <c r="C267">
        <v>4100000</v>
      </c>
      <c r="D267" t="s">
        <v>249</v>
      </c>
      <c r="E267">
        <v>18720</v>
      </c>
      <c r="F267">
        <v>63</v>
      </c>
      <c r="G267">
        <v>60000</v>
      </c>
    </row>
    <row r="268" spans="1:7" x14ac:dyDescent="0.25">
      <c r="A268" t="s">
        <v>240</v>
      </c>
      <c r="B268">
        <v>22</v>
      </c>
      <c r="C268">
        <v>470000</v>
      </c>
      <c r="D268" t="s">
        <v>249</v>
      </c>
      <c r="E268">
        <v>20160</v>
      </c>
      <c r="F268">
        <v>66</v>
      </c>
      <c r="G268">
        <v>80000</v>
      </c>
    </row>
    <row r="269" spans="1:7" x14ac:dyDescent="0.25">
      <c r="A269" t="s">
        <v>240</v>
      </c>
      <c r="B269">
        <v>23</v>
      </c>
      <c r="C269">
        <v>520000</v>
      </c>
      <c r="D269" t="s">
        <v>249</v>
      </c>
      <c r="E269">
        <v>21600</v>
      </c>
      <c r="F269">
        <v>69</v>
      </c>
      <c r="G269">
        <v>100000</v>
      </c>
    </row>
    <row r="270" spans="1:7" x14ac:dyDescent="0.25">
      <c r="A270" t="s">
        <v>240</v>
      </c>
      <c r="B270">
        <v>24</v>
      </c>
      <c r="C270">
        <v>570000</v>
      </c>
      <c r="D270" t="s">
        <v>249</v>
      </c>
      <c r="E270">
        <v>23040</v>
      </c>
      <c r="F270">
        <v>72</v>
      </c>
      <c r="G270">
        <v>120000</v>
      </c>
    </row>
    <row r="271" spans="1:7" x14ac:dyDescent="0.25">
      <c r="A271" t="s">
        <v>240</v>
      </c>
      <c r="B271">
        <v>25</v>
      </c>
      <c r="C271">
        <v>620000</v>
      </c>
      <c r="D271" t="s">
        <v>249</v>
      </c>
      <c r="E271">
        <v>24480</v>
      </c>
      <c r="F271">
        <v>75</v>
      </c>
      <c r="G271">
        <v>140000</v>
      </c>
    </row>
    <row r="272" spans="1:7" x14ac:dyDescent="0.25">
      <c r="A272" t="s">
        <v>241</v>
      </c>
      <c r="B272">
        <v>1</v>
      </c>
      <c r="C272">
        <v>240</v>
      </c>
      <c r="D272" t="s">
        <v>248</v>
      </c>
      <c r="E272">
        <v>0</v>
      </c>
      <c r="F272">
        <v>3</v>
      </c>
      <c r="G272">
        <v>2500</v>
      </c>
    </row>
    <row r="273" spans="1:7" x14ac:dyDescent="0.25">
      <c r="A273" t="s">
        <v>241</v>
      </c>
      <c r="B273">
        <v>2</v>
      </c>
      <c r="C273">
        <v>1100</v>
      </c>
      <c r="D273" t="s">
        <v>248</v>
      </c>
      <c r="E273">
        <v>1</v>
      </c>
      <c r="F273">
        <v>6</v>
      </c>
      <c r="G273">
        <v>3000</v>
      </c>
    </row>
    <row r="274" spans="1:7" x14ac:dyDescent="0.25">
      <c r="A274" t="s">
        <v>241</v>
      </c>
      <c r="B274">
        <v>3</v>
      </c>
      <c r="C274">
        <v>3000</v>
      </c>
      <c r="D274" t="s">
        <v>248</v>
      </c>
      <c r="E274">
        <v>5</v>
      </c>
      <c r="F274">
        <v>9</v>
      </c>
      <c r="G274">
        <v>3500</v>
      </c>
    </row>
    <row r="275" spans="1:7" x14ac:dyDescent="0.25">
      <c r="A275" t="s">
        <v>241</v>
      </c>
      <c r="B275">
        <v>4</v>
      </c>
      <c r="C275">
        <v>6000</v>
      </c>
      <c r="D275" t="s">
        <v>248</v>
      </c>
      <c r="E275">
        <v>15</v>
      </c>
      <c r="F275">
        <v>12</v>
      </c>
      <c r="G275">
        <v>4000</v>
      </c>
    </row>
    <row r="276" spans="1:7" x14ac:dyDescent="0.25">
      <c r="A276" t="s">
        <v>241</v>
      </c>
      <c r="B276">
        <v>5</v>
      </c>
      <c r="C276">
        <v>13000</v>
      </c>
      <c r="D276" t="s">
        <v>248</v>
      </c>
      <c r="E276">
        <v>30</v>
      </c>
      <c r="F276">
        <v>15</v>
      </c>
      <c r="G276">
        <v>4500</v>
      </c>
    </row>
    <row r="277" spans="1:7" x14ac:dyDescent="0.25">
      <c r="A277" t="s">
        <v>241</v>
      </c>
      <c r="B277">
        <v>6</v>
      </c>
      <c r="C277">
        <v>22000</v>
      </c>
      <c r="D277" t="s">
        <v>248</v>
      </c>
      <c r="E277">
        <v>60</v>
      </c>
      <c r="F277">
        <v>18</v>
      </c>
      <c r="G277">
        <v>5500</v>
      </c>
    </row>
    <row r="278" spans="1:7" x14ac:dyDescent="0.25">
      <c r="A278" t="s">
        <v>241</v>
      </c>
      <c r="B278">
        <v>7</v>
      </c>
      <c r="C278">
        <v>38000</v>
      </c>
      <c r="D278" t="s">
        <v>248</v>
      </c>
      <c r="E278">
        <v>120</v>
      </c>
      <c r="F278">
        <v>21</v>
      </c>
      <c r="G278">
        <v>6500</v>
      </c>
    </row>
    <row r="279" spans="1:7" x14ac:dyDescent="0.25">
      <c r="A279" t="s">
        <v>241</v>
      </c>
      <c r="B279">
        <v>8</v>
      </c>
      <c r="C279">
        <v>63000</v>
      </c>
      <c r="D279" t="s">
        <v>248</v>
      </c>
      <c r="E279">
        <v>240</v>
      </c>
      <c r="F279">
        <v>24</v>
      </c>
      <c r="G279">
        <v>7500</v>
      </c>
    </row>
    <row r="280" spans="1:7" x14ac:dyDescent="0.25">
      <c r="A280" t="s">
        <v>241</v>
      </c>
      <c r="B280">
        <v>9</v>
      </c>
      <c r="C280">
        <v>110000</v>
      </c>
      <c r="D280" t="s">
        <v>248</v>
      </c>
      <c r="E280">
        <v>480</v>
      </c>
      <c r="F280">
        <v>27</v>
      </c>
      <c r="G280">
        <v>8500</v>
      </c>
    </row>
    <row r="281" spans="1:7" x14ac:dyDescent="0.25">
      <c r="A281" t="s">
        <v>241</v>
      </c>
      <c r="B281">
        <v>10</v>
      </c>
      <c r="C281">
        <v>150000</v>
      </c>
      <c r="D281" t="s">
        <v>248</v>
      </c>
      <c r="E281">
        <v>720</v>
      </c>
      <c r="F281">
        <v>30</v>
      </c>
      <c r="G281">
        <v>10000</v>
      </c>
    </row>
    <row r="282" spans="1:7" x14ac:dyDescent="0.25">
      <c r="A282" t="s">
        <v>241</v>
      </c>
      <c r="B282">
        <v>11</v>
      </c>
      <c r="C282">
        <v>270000</v>
      </c>
      <c r="D282" t="s">
        <v>248</v>
      </c>
      <c r="E282">
        <v>1440</v>
      </c>
      <c r="F282">
        <v>33</v>
      </c>
      <c r="G282">
        <v>11500</v>
      </c>
    </row>
    <row r="283" spans="1:7" x14ac:dyDescent="0.25">
      <c r="A283" t="s">
        <v>241</v>
      </c>
      <c r="B283">
        <v>12</v>
      </c>
      <c r="C283">
        <v>380000</v>
      </c>
      <c r="D283" t="s">
        <v>248</v>
      </c>
      <c r="E283">
        <v>2880</v>
      </c>
      <c r="F283">
        <v>36</v>
      </c>
      <c r="G283">
        <v>13500</v>
      </c>
    </row>
    <row r="284" spans="1:7" x14ac:dyDescent="0.25">
      <c r="A284" t="s">
        <v>241</v>
      </c>
      <c r="B284">
        <v>13</v>
      </c>
      <c r="C284">
        <v>520000</v>
      </c>
      <c r="D284" t="s">
        <v>248</v>
      </c>
      <c r="E284">
        <v>4320</v>
      </c>
      <c r="F284">
        <v>39</v>
      </c>
      <c r="G284">
        <v>15500</v>
      </c>
    </row>
    <row r="285" spans="1:7" x14ac:dyDescent="0.25">
      <c r="A285" t="s">
        <v>241</v>
      </c>
      <c r="B285">
        <v>14</v>
      </c>
      <c r="C285">
        <v>690000</v>
      </c>
      <c r="D285" t="s">
        <v>248</v>
      </c>
      <c r="E285">
        <v>5760</v>
      </c>
      <c r="F285">
        <v>42</v>
      </c>
      <c r="G285">
        <v>18000</v>
      </c>
    </row>
    <row r="286" spans="1:7" x14ac:dyDescent="0.25">
      <c r="A286" t="s">
        <v>241</v>
      </c>
      <c r="B286">
        <v>15</v>
      </c>
      <c r="C286">
        <v>890000</v>
      </c>
      <c r="D286" t="s">
        <v>248</v>
      </c>
      <c r="E286">
        <v>7200</v>
      </c>
      <c r="F286">
        <v>45</v>
      </c>
      <c r="G286">
        <v>20500</v>
      </c>
    </row>
    <row r="287" spans="1:7" x14ac:dyDescent="0.25">
      <c r="A287" t="s">
        <v>241</v>
      </c>
      <c r="B287">
        <v>16</v>
      </c>
      <c r="C287">
        <v>1300000</v>
      </c>
      <c r="D287" t="s">
        <v>248</v>
      </c>
      <c r="E287">
        <v>8640</v>
      </c>
      <c r="F287">
        <v>48</v>
      </c>
      <c r="G287">
        <v>24000</v>
      </c>
    </row>
    <row r="288" spans="1:7" x14ac:dyDescent="0.25">
      <c r="A288" t="s">
        <v>241</v>
      </c>
      <c r="B288">
        <v>17</v>
      </c>
      <c r="C288">
        <v>1800000</v>
      </c>
      <c r="D288" t="s">
        <v>248</v>
      </c>
      <c r="E288">
        <v>10080</v>
      </c>
      <c r="F288">
        <v>51</v>
      </c>
      <c r="G288">
        <v>27500</v>
      </c>
    </row>
    <row r="289" spans="1:7" x14ac:dyDescent="0.25">
      <c r="A289" t="s">
        <v>241</v>
      </c>
      <c r="B289">
        <v>18</v>
      </c>
      <c r="C289">
        <v>2400000</v>
      </c>
      <c r="D289" t="s">
        <v>248</v>
      </c>
      <c r="E289">
        <v>11520</v>
      </c>
      <c r="F289">
        <v>54</v>
      </c>
      <c r="G289">
        <v>32500</v>
      </c>
    </row>
    <row r="290" spans="1:7" x14ac:dyDescent="0.25">
      <c r="A290" t="s">
        <v>241</v>
      </c>
      <c r="B290">
        <v>19</v>
      </c>
      <c r="C290">
        <v>3000000</v>
      </c>
      <c r="D290" t="s">
        <v>248</v>
      </c>
      <c r="E290">
        <v>14400</v>
      </c>
      <c r="F290">
        <v>57</v>
      </c>
      <c r="G290">
        <v>37500</v>
      </c>
    </row>
    <row r="291" spans="1:7" x14ac:dyDescent="0.25">
      <c r="A291" t="s">
        <v>241</v>
      </c>
      <c r="B291">
        <v>20</v>
      </c>
      <c r="C291">
        <v>3600000</v>
      </c>
      <c r="D291" t="s">
        <v>248</v>
      </c>
      <c r="E291">
        <v>17280</v>
      </c>
      <c r="F291">
        <v>60</v>
      </c>
      <c r="G291">
        <v>45000</v>
      </c>
    </row>
    <row r="292" spans="1:7" x14ac:dyDescent="0.25">
      <c r="A292" t="s">
        <v>241</v>
      </c>
      <c r="B292">
        <v>21</v>
      </c>
      <c r="C292">
        <v>4100000</v>
      </c>
      <c r="D292" t="s">
        <v>248</v>
      </c>
      <c r="E292">
        <v>18720</v>
      </c>
      <c r="F292">
        <v>63</v>
      </c>
      <c r="G292">
        <v>60000</v>
      </c>
    </row>
    <row r="293" spans="1:7" x14ac:dyDescent="0.25">
      <c r="A293" t="s">
        <v>241</v>
      </c>
      <c r="B293">
        <v>22</v>
      </c>
      <c r="C293">
        <v>470000</v>
      </c>
      <c r="D293" t="s">
        <v>248</v>
      </c>
      <c r="E293">
        <v>20160</v>
      </c>
      <c r="F293">
        <v>66</v>
      </c>
      <c r="G293">
        <v>80000</v>
      </c>
    </row>
    <row r="294" spans="1:7" x14ac:dyDescent="0.25">
      <c r="A294" t="s">
        <v>241</v>
      </c>
      <c r="B294">
        <v>23</v>
      </c>
      <c r="C294">
        <v>520000</v>
      </c>
      <c r="D294" t="s">
        <v>248</v>
      </c>
      <c r="E294">
        <v>21600</v>
      </c>
      <c r="F294">
        <v>69</v>
      </c>
      <c r="G294">
        <v>100000</v>
      </c>
    </row>
    <row r="295" spans="1:7" x14ac:dyDescent="0.25">
      <c r="A295" t="s">
        <v>241</v>
      </c>
      <c r="B295">
        <v>24</v>
      </c>
      <c r="C295">
        <v>570000</v>
      </c>
      <c r="D295" t="s">
        <v>248</v>
      </c>
      <c r="E295">
        <v>23040</v>
      </c>
      <c r="F295">
        <v>72</v>
      </c>
      <c r="G295">
        <v>120000</v>
      </c>
    </row>
    <row r="296" spans="1:7" x14ac:dyDescent="0.25">
      <c r="A296" t="s">
        <v>241</v>
      </c>
      <c r="B296">
        <v>25</v>
      </c>
      <c r="C296">
        <v>620000</v>
      </c>
      <c r="D296" t="s">
        <v>248</v>
      </c>
      <c r="E296">
        <v>24480</v>
      </c>
      <c r="F296">
        <v>75</v>
      </c>
      <c r="G296">
        <v>140000</v>
      </c>
    </row>
    <row r="297" spans="1:7" x14ac:dyDescent="0.25">
      <c r="A297" t="s">
        <v>242</v>
      </c>
      <c r="B297">
        <v>1</v>
      </c>
      <c r="C297">
        <v>0</v>
      </c>
      <c r="E297">
        <v>0</v>
      </c>
      <c r="F297">
        <v>1</v>
      </c>
      <c r="G297">
        <v>5000</v>
      </c>
    </row>
    <row r="298" spans="1:7" x14ac:dyDescent="0.25">
      <c r="A298" t="s">
        <v>243</v>
      </c>
      <c r="B298">
        <v>1</v>
      </c>
      <c r="C298">
        <v>0</v>
      </c>
      <c r="E298">
        <v>0</v>
      </c>
      <c r="F298">
        <v>0</v>
      </c>
      <c r="G298">
        <v>5000</v>
      </c>
    </row>
    <row r="299" spans="1:7" x14ac:dyDescent="0.25">
      <c r="A299" t="s">
        <v>244</v>
      </c>
      <c r="B299">
        <v>1</v>
      </c>
      <c r="C299">
        <v>0</v>
      </c>
      <c r="E299">
        <v>0</v>
      </c>
      <c r="F299">
        <v>0</v>
      </c>
      <c r="G299">
        <v>5000</v>
      </c>
    </row>
    <row r="300" spans="1:7" x14ac:dyDescent="0.25">
      <c r="A300" t="s">
        <v>245</v>
      </c>
      <c r="B300">
        <v>1</v>
      </c>
      <c r="C300">
        <v>0</v>
      </c>
      <c r="E300">
        <v>0</v>
      </c>
      <c r="F300">
        <v>5</v>
      </c>
      <c r="G300">
        <v>3000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1C7E63-32E7-4216-AAA1-8FDDA35BCF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305</vt:i4>
      </vt:variant>
    </vt:vector>
  </HeadingPairs>
  <TitlesOfParts>
    <vt:vector size="324" baseType="lpstr">
      <vt:lpstr>validation</vt:lpstr>
      <vt:lpstr>pictures-heroes</vt:lpstr>
      <vt:lpstr>pictures-skill</vt:lpstr>
      <vt:lpstr>pictures-talent1</vt:lpstr>
      <vt:lpstr>pictures-talent2</vt:lpstr>
      <vt:lpstr>pictures-crests</vt:lpstr>
      <vt:lpstr>pictures</vt:lpstr>
      <vt:lpstr>crest-set-helper</vt:lpstr>
      <vt:lpstr>Instructions</vt:lpstr>
      <vt:lpstr>staging-heroes</vt:lpstr>
      <vt:lpstr>staging-crests</vt:lpstr>
      <vt:lpstr>Warehouse - Crests</vt:lpstr>
      <vt:lpstr>Warehouse - Cards</vt:lpstr>
      <vt:lpstr>Total Crests</vt:lpstr>
      <vt:lpstr>Singles</vt:lpstr>
      <vt:lpstr>Heroes</vt:lpstr>
      <vt:lpstr>Garrisons</vt:lpstr>
      <vt:lpstr>Buildings</vt:lpstr>
      <vt:lpstr>buildings-data</vt:lpstr>
      <vt:lpstr>crest.berserk</vt:lpstr>
      <vt:lpstr>crest.bladeshell</vt:lpstr>
      <vt:lpstr>crest.bulwark</vt:lpstr>
      <vt:lpstr>crest.deadlystrike</vt:lpstr>
      <vt:lpstr>crest.empty</vt:lpstr>
      <vt:lpstr>crest.flameguard</vt:lpstr>
      <vt:lpstr>crest.heavyblow</vt:lpstr>
      <vt:lpstr>crest.lifedrain</vt:lpstr>
      <vt:lpstr>crest.psyshield</vt:lpstr>
      <vt:lpstr>crest.revitalize</vt:lpstr>
      <vt:lpstr>crest.revive</vt:lpstr>
      <vt:lpstr>crest.scatter</vt:lpstr>
      <vt:lpstr>crest.scorch</vt:lpstr>
      <vt:lpstr>crest.selfdestruct</vt:lpstr>
      <vt:lpstr>crest.slowdown</vt:lpstr>
      <vt:lpstr>crest.sprint</vt:lpstr>
      <vt:lpstr>crest.stoneskin</vt:lpstr>
      <vt:lpstr>crest.tenacity</vt:lpstr>
      <vt:lpstr>crest.wargod</vt:lpstr>
      <vt:lpstr>hero.alchemist.stage0</vt:lpstr>
      <vt:lpstr>hero.alchemist.stage1</vt:lpstr>
      <vt:lpstr>hero.alchemist.stage2</vt:lpstr>
      <vt:lpstr>hero.angel.stage0</vt:lpstr>
      <vt:lpstr>hero.angel.stage1</vt:lpstr>
      <vt:lpstr>hero.angel.stage2</vt:lpstr>
      <vt:lpstr>hero.anubis.stage0</vt:lpstr>
      <vt:lpstr>hero.anubis.stage1</vt:lpstr>
      <vt:lpstr>hero.anubis.stage2</vt:lpstr>
      <vt:lpstr>hero.arctica.stage0</vt:lpstr>
      <vt:lpstr>hero.arctica.stage1</vt:lpstr>
      <vt:lpstr>hero.arctica.stage2</vt:lpstr>
      <vt:lpstr>hero.aries.stage0</vt:lpstr>
      <vt:lpstr>hero.aries.stage1</vt:lpstr>
      <vt:lpstr>hero.aries.stage2</vt:lpstr>
      <vt:lpstr>hero.assassin.stage0</vt:lpstr>
      <vt:lpstr>hero.assassin.stage1</vt:lpstr>
      <vt:lpstr>hero.assassin.stage2</vt:lpstr>
      <vt:lpstr>hero.atlanticore.stage0</vt:lpstr>
      <vt:lpstr>hero.atlanticore.stage1</vt:lpstr>
      <vt:lpstr>hero.atlanticore.stage2</vt:lpstr>
      <vt:lpstr>hero.beasttamer.stage0</vt:lpstr>
      <vt:lpstr>hero.beasttamer.stage1</vt:lpstr>
      <vt:lpstr>hero.beasttamer.stage2</vt:lpstr>
      <vt:lpstr>hero.candykane.stage0</vt:lpstr>
      <vt:lpstr>hero.candykane.stage1</vt:lpstr>
      <vt:lpstr>hero.candykane.stage2</vt:lpstr>
      <vt:lpstr>hero.champion.stage0</vt:lpstr>
      <vt:lpstr>hero.champion.stage1</vt:lpstr>
      <vt:lpstr>hero.champion.stage2</vt:lpstr>
      <vt:lpstr>hero.cupid.stage0</vt:lpstr>
      <vt:lpstr>hero.cupid.stage1</vt:lpstr>
      <vt:lpstr>hero.cupid.stage2</vt:lpstr>
      <vt:lpstr>hero.cyclops.stage0</vt:lpstr>
      <vt:lpstr>hero.cyclops.stage1</vt:lpstr>
      <vt:lpstr>hero.cyclops.stage2</vt:lpstr>
      <vt:lpstr>hero.deathknight.stage0</vt:lpstr>
      <vt:lpstr>hero.deathknight.stage1</vt:lpstr>
      <vt:lpstr>hero.deathknight.stage2</vt:lpstr>
      <vt:lpstr>hero.demogorgon.stage0</vt:lpstr>
      <vt:lpstr>hero.demogorgon.stage1</vt:lpstr>
      <vt:lpstr>hero.demogorgon.stage2</vt:lpstr>
      <vt:lpstr>hero.destroyer.stage0</vt:lpstr>
      <vt:lpstr>hero.destroyer.stage1</vt:lpstr>
      <vt:lpstr>hero.destroyer.stage2</vt:lpstr>
      <vt:lpstr>hero.dracax.stage0</vt:lpstr>
      <vt:lpstr>hero.dracax.stage1</vt:lpstr>
      <vt:lpstr>hero.dracax.stage2</vt:lpstr>
      <vt:lpstr>hero.dreaddrake.stage0</vt:lpstr>
      <vt:lpstr>hero.dreaddrake.stage1</vt:lpstr>
      <vt:lpstr>hero.dreaddrake.stage2</vt:lpstr>
      <vt:lpstr>hero.druid.stage0</vt:lpstr>
      <vt:lpstr>hero.druid.stage1</vt:lpstr>
      <vt:lpstr>hero.druid.stage2</vt:lpstr>
      <vt:lpstr>hero.dryad.stage0</vt:lpstr>
      <vt:lpstr>hero.dryad.stage1</vt:lpstr>
      <vt:lpstr>hero.dryad.stage2</vt:lpstr>
      <vt:lpstr>hero.engineer.stage0</vt:lpstr>
      <vt:lpstr>hero.engineer.stage1</vt:lpstr>
      <vt:lpstr>hero.engineer.stage2</vt:lpstr>
      <vt:lpstr>hero.executioner.stage0</vt:lpstr>
      <vt:lpstr>hero.executioner.stage1</vt:lpstr>
      <vt:lpstr>hero.executioner.stage2</vt:lpstr>
      <vt:lpstr>hero.frostwitch.stage0</vt:lpstr>
      <vt:lpstr>hero.frostwitch.stage1</vt:lpstr>
      <vt:lpstr>hero.frostwitch.stage2</vt:lpstr>
      <vt:lpstr>hero.ghoulem.stage0</vt:lpstr>
      <vt:lpstr>hero.ghoulem.stage1</vt:lpstr>
      <vt:lpstr>hero.ghoulem.stage2</vt:lpstr>
      <vt:lpstr>hero.grimfiend.stage0</vt:lpstr>
      <vt:lpstr>hero.grimfiend.stage1</vt:lpstr>
      <vt:lpstr>hero.grimfiend.stage2</vt:lpstr>
      <vt:lpstr>hero.grizzlyreaper.stage0</vt:lpstr>
      <vt:lpstr>hero.grizzlyreaper.stage1</vt:lpstr>
      <vt:lpstr>hero.grizzlyreaper.stage2</vt:lpstr>
      <vt:lpstr>hero.harpyqueen.stage0</vt:lpstr>
      <vt:lpstr>hero.harpyqueen.stage1</vt:lpstr>
      <vt:lpstr>hero.harpyqueen.stage2</vt:lpstr>
      <vt:lpstr>hero.heartbreaker.stage0</vt:lpstr>
      <vt:lpstr>hero.heartbreaker.stage1</vt:lpstr>
      <vt:lpstr>hero.heartbreaker.stage2</vt:lpstr>
      <vt:lpstr>hero.hillgiant.stage0</vt:lpstr>
      <vt:lpstr>hero.hillgiant.stage1</vt:lpstr>
      <vt:lpstr>hero.hillgiant.stage2</vt:lpstr>
      <vt:lpstr>hero.icedemon.stage0</vt:lpstr>
      <vt:lpstr>hero.icedemon.stage1</vt:lpstr>
      <vt:lpstr>hero.icedemon.stage2</vt:lpstr>
      <vt:lpstr>hero.immortep.stage0</vt:lpstr>
      <vt:lpstr>hero.immortep.stage1</vt:lpstr>
      <vt:lpstr>hero.immortep.stage2</vt:lpstr>
      <vt:lpstr>hero.ladyleo.stage0</vt:lpstr>
      <vt:lpstr>hero.ladyleo.stage1</vt:lpstr>
      <vt:lpstr>hero.ladyleo.stage2</vt:lpstr>
      <vt:lpstr>hero.lilnick.stage0</vt:lpstr>
      <vt:lpstr>hero.lilnick.stage1</vt:lpstr>
      <vt:lpstr>hero.lilnick.stage2</vt:lpstr>
      <vt:lpstr>hero.marauder.stage0</vt:lpstr>
      <vt:lpstr>hero.marauder.stage1</vt:lpstr>
      <vt:lpstr>hero.marauder.stage2</vt:lpstr>
      <vt:lpstr>hero.marksman.stage0</vt:lpstr>
      <vt:lpstr>hero.marksman.stage1</vt:lpstr>
      <vt:lpstr>hero.marksman.stage2</vt:lpstr>
      <vt:lpstr>hero.medusa.stage0</vt:lpstr>
      <vt:lpstr>hero.medusa.stage1</vt:lpstr>
      <vt:lpstr>hero.medusa.stage2</vt:lpstr>
      <vt:lpstr>hero.michael.stage0</vt:lpstr>
      <vt:lpstr>hero.michael.stage1</vt:lpstr>
      <vt:lpstr>hero.michael.stage2</vt:lpstr>
      <vt:lpstr>hero.minotaurchieftain.stage0</vt:lpstr>
      <vt:lpstr>hero.minotaurchieftain.stage1</vt:lpstr>
      <vt:lpstr>hero.minotaurchieftain.stage2</vt:lpstr>
      <vt:lpstr>hero.moltanica.stage0</vt:lpstr>
      <vt:lpstr>hero.moltanica.stage1</vt:lpstr>
      <vt:lpstr>hero.moltanica.stage2</vt:lpstr>
      <vt:lpstr>hero.ninja.stage0</vt:lpstr>
      <vt:lpstr>hero.ninja.stage1</vt:lpstr>
      <vt:lpstr>hero.ninja.stage2</vt:lpstr>
      <vt:lpstr>hero.orksbane.stage0</vt:lpstr>
      <vt:lpstr>hero.orksbane.stage1</vt:lpstr>
      <vt:lpstr>hero.orksbane.stage2</vt:lpstr>
      <vt:lpstr>hero.painda.stage0</vt:lpstr>
      <vt:lpstr>hero.painda.stage1</vt:lpstr>
      <vt:lpstr>hero.painda.stage2</vt:lpstr>
      <vt:lpstr>hero.paladin.stage0</vt:lpstr>
      <vt:lpstr>hero.paladin.stage1</vt:lpstr>
      <vt:lpstr>hero.paladin.stage2</vt:lpstr>
      <vt:lpstr>hero.phantomking.stage0</vt:lpstr>
      <vt:lpstr>hero.phantomking.stage1</vt:lpstr>
      <vt:lpstr>hero.phantomking.stage2</vt:lpstr>
      <vt:lpstr>hero.pixie.stage0</vt:lpstr>
      <vt:lpstr>hero.pixie.stage1</vt:lpstr>
      <vt:lpstr>hero.pixie.stage2</vt:lpstr>
      <vt:lpstr>hero.pumpkinduke.stage0</vt:lpstr>
      <vt:lpstr>hero.pumpkinduke.stage1</vt:lpstr>
      <vt:lpstr>hero.pumpkinduke.stage2</vt:lpstr>
      <vt:lpstr>hero.revenant.stage0</vt:lpstr>
      <vt:lpstr>hero.revenant.stage1</vt:lpstr>
      <vt:lpstr>hero.revenant.stage2</vt:lpstr>
      <vt:lpstr>hero.santaboom.stage0</vt:lpstr>
      <vt:lpstr>hero.santaboom.stage1</vt:lpstr>
      <vt:lpstr>hero.santaboom.stage2</vt:lpstr>
      <vt:lpstr>hero.serpentqueen.stage0</vt:lpstr>
      <vt:lpstr>hero.serpentqueen.stage1</vt:lpstr>
      <vt:lpstr>hero.serpentqueen.stage2</vt:lpstr>
      <vt:lpstr>hero.shaman.stage0</vt:lpstr>
      <vt:lpstr>hero.shaman.stage1</vt:lpstr>
      <vt:lpstr>hero.shaman.stage2</vt:lpstr>
      <vt:lpstr>hero.siren.stage0</vt:lpstr>
      <vt:lpstr>hero.siren.stage1</vt:lpstr>
      <vt:lpstr>hero.siren.stage2</vt:lpstr>
      <vt:lpstr>hero.skullknight.stage0</vt:lpstr>
      <vt:lpstr>hero.skullknight.stage1</vt:lpstr>
      <vt:lpstr>hero.skullknight.stage2</vt:lpstr>
      <vt:lpstr>hero.snowzilla.stage0</vt:lpstr>
      <vt:lpstr>hero.snowzilla.stage1</vt:lpstr>
      <vt:lpstr>hero.snowzilla.stage2</vt:lpstr>
      <vt:lpstr>hero.spiritmage.stage0</vt:lpstr>
      <vt:lpstr>hero.spiritmage.stage1</vt:lpstr>
      <vt:lpstr>hero.spiritmage.stage2</vt:lpstr>
      <vt:lpstr>hero.succubus.stage0</vt:lpstr>
      <vt:lpstr>hero.succubus.stage1</vt:lpstr>
      <vt:lpstr>hero.succubus.stage2</vt:lpstr>
      <vt:lpstr>hero.thundergod.stage0</vt:lpstr>
      <vt:lpstr>hero.thundergod.stage1</vt:lpstr>
      <vt:lpstr>hero.thundergod.stage2</vt:lpstr>
      <vt:lpstr>hero.treantaur.stage0</vt:lpstr>
      <vt:lpstr>hero.treantaur.stage1</vt:lpstr>
      <vt:lpstr>hero.treantaur.stage2</vt:lpstr>
      <vt:lpstr>hero.triton.stage0</vt:lpstr>
      <vt:lpstr>hero.triton.stage1</vt:lpstr>
      <vt:lpstr>hero.triton.stage2</vt:lpstr>
      <vt:lpstr>hero.trixietreat.stage0</vt:lpstr>
      <vt:lpstr>hero.trixietreat.stage1</vt:lpstr>
      <vt:lpstr>hero.trixietreat.stage2</vt:lpstr>
      <vt:lpstr>hero.valentina.stage0</vt:lpstr>
      <vt:lpstr>hero.valentina.stage1</vt:lpstr>
      <vt:lpstr>hero.valentina.stage2</vt:lpstr>
      <vt:lpstr>hero.vladdracula.stage0</vt:lpstr>
      <vt:lpstr>hero.vladdracula.stage1</vt:lpstr>
      <vt:lpstr>hero.vladdracula.stage2</vt:lpstr>
      <vt:lpstr>hero.warlock.stage0</vt:lpstr>
      <vt:lpstr>hero.warlock.stage1</vt:lpstr>
      <vt:lpstr>hero.warlock.stage2</vt:lpstr>
      <vt:lpstr>hero.werewolf.stage0</vt:lpstr>
      <vt:lpstr>hero.werewolf.stage1</vt:lpstr>
      <vt:lpstr>hero.werewolf.stage2</vt:lpstr>
      <vt:lpstr>skill.alchemist</vt:lpstr>
      <vt:lpstr>skill.angel</vt:lpstr>
      <vt:lpstr>skill.anubis</vt:lpstr>
      <vt:lpstr>skill.arctica</vt:lpstr>
      <vt:lpstr>skill.aries</vt:lpstr>
      <vt:lpstr>skill.assassin</vt:lpstr>
      <vt:lpstr>skill.atlanticore</vt:lpstr>
      <vt:lpstr>skill.beasttamer</vt:lpstr>
      <vt:lpstr>skill.candykane</vt:lpstr>
      <vt:lpstr>skill.champion</vt:lpstr>
      <vt:lpstr>skill.cupid</vt:lpstr>
      <vt:lpstr>skill.cyclops</vt:lpstr>
      <vt:lpstr>skill.deathknight</vt:lpstr>
      <vt:lpstr>skill.demogorgon</vt:lpstr>
      <vt:lpstr>skill.destroyer</vt:lpstr>
      <vt:lpstr>skill.dracax</vt:lpstr>
      <vt:lpstr>skill.dreaddrake</vt:lpstr>
      <vt:lpstr>skill.druid</vt:lpstr>
      <vt:lpstr>skill.dryad</vt:lpstr>
      <vt:lpstr>skill.engineer</vt:lpstr>
      <vt:lpstr>skill.executioner</vt:lpstr>
      <vt:lpstr>skill.frostwitch</vt:lpstr>
      <vt:lpstr>skill.ghoulem</vt:lpstr>
      <vt:lpstr>skill.grimfiend</vt:lpstr>
      <vt:lpstr>skill.grizzlyreaper</vt:lpstr>
      <vt:lpstr>skill.harpyqueen</vt:lpstr>
      <vt:lpstr>skill.heartbreaker</vt:lpstr>
      <vt:lpstr>skill.hillgiant</vt:lpstr>
      <vt:lpstr>skill.icedemon</vt:lpstr>
      <vt:lpstr>skill.immortep</vt:lpstr>
      <vt:lpstr>skill.ladyleo</vt:lpstr>
      <vt:lpstr>skill.lilnick</vt:lpstr>
      <vt:lpstr>skill.marauder</vt:lpstr>
      <vt:lpstr>skill.marksman</vt:lpstr>
      <vt:lpstr>skill.medusa</vt:lpstr>
      <vt:lpstr>skill.michael</vt:lpstr>
      <vt:lpstr>skill.minotaurchieftain</vt:lpstr>
      <vt:lpstr>skill.moltanica</vt:lpstr>
      <vt:lpstr>skill.ninja</vt:lpstr>
      <vt:lpstr>skill.orksbane</vt:lpstr>
      <vt:lpstr>skill.painda</vt:lpstr>
      <vt:lpstr>skill.paladin</vt:lpstr>
      <vt:lpstr>skill.phantomking</vt:lpstr>
      <vt:lpstr>skill.pixie</vt:lpstr>
      <vt:lpstr>skill.pumpkinduke</vt:lpstr>
      <vt:lpstr>skill.revenant</vt:lpstr>
      <vt:lpstr>skill.santaboom</vt:lpstr>
      <vt:lpstr>skill.serpentqueen</vt:lpstr>
      <vt:lpstr>skill.shaman</vt:lpstr>
      <vt:lpstr>skill.siren</vt:lpstr>
      <vt:lpstr>skill.skullknight</vt:lpstr>
      <vt:lpstr>skill.snowzilla</vt:lpstr>
      <vt:lpstr>skill.spiritmage</vt:lpstr>
      <vt:lpstr>skill.succubus</vt:lpstr>
      <vt:lpstr>skill.thundergod</vt:lpstr>
      <vt:lpstr>skill.treantaur</vt:lpstr>
      <vt:lpstr>skill.triton</vt:lpstr>
      <vt:lpstr>skill.trixietreat</vt:lpstr>
      <vt:lpstr>skill.valentina</vt:lpstr>
      <vt:lpstr>skill.vladdracula</vt:lpstr>
      <vt:lpstr>skill.warlock</vt:lpstr>
      <vt:lpstr>skill.werewolf</vt:lpstr>
      <vt:lpstr>talent1.berserk</vt:lpstr>
      <vt:lpstr>talent1.bladeshell</vt:lpstr>
      <vt:lpstr>talent1.bulwark</vt:lpstr>
      <vt:lpstr>talent1.condemnation</vt:lpstr>
      <vt:lpstr>talent1.corrode</vt:lpstr>
      <vt:lpstr>talent1.deadlystrike</vt:lpstr>
      <vt:lpstr>talent1.empty</vt:lpstr>
      <vt:lpstr>talent1.enlighten</vt:lpstr>
      <vt:lpstr>talent1.flameguard</vt:lpstr>
      <vt:lpstr>talent1.heavenswrath</vt:lpstr>
      <vt:lpstr>talent1.heavyblow</vt:lpstr>
      <vt:lpstr>talent1.lifedrain</vt:lpstr>
      <vt:lpstr>talent1.revitalize</vt:lpstr>
      <vt:lpstr>talent1.revive</vt:lpstr>
      <vt:lpstr>talent1.scatter</vt:lpstr>
      <vt:lpstr>talent1.scorch</vt:lpstr>
      <vt:lpstr>talent1.selfdestruct</vt:lpstr>
      <vt:lpstr>talent1.slowdown</vt:lpstr>
      <vt:lpstr>talent1.sprint</vt:lpstr>
      <vt:lpstr>talent1.stoneskin</vt:lpstr>
      <vt:lpstr>talent1.tenacity</vt:lpstr>
      <vt:lpstr>talent1.wargod</vt:lpstr>
      <vt:lpstr>talent2.arctica</vt:lpstr>
      <vt:lpstr>talent2.beasttamer</vt:lpstr>
      <vt:lpstr>talent2.candykane</vt:lpstr>
      <vt:lpstr>talent2.deathknight</vt:lpstr>
      <vt:lpstr>talent2.destroyer</vt:lpstr>
      <vt:lpstr>talent2.dracax</vt:lpstr>
      <vt:lpstr>talent2.dreaddrake</vt:lpstr>
      <vt:lpstr>talent2.empty</vt:lpstr>
      <vt:lpstr>talent2.grimfiend</vt:lpstr>
      <vt:lpstr>talent2.harpyqueen</vt:lpstr>
      <vt:lpstr>talent2.ladyleo</vt:lpstr>
      <vt:lpstr>talent2.phantomking</vt:lpstr>
      <vt:lpstr>talent2.pixie</vt:lpstr>
      <vt:lpstr>talent2.santaboom</vt:lpstr>
      <vt:lpstr>talent2.skullknight</vt:lpstr>
      <vt:lpstr>talent2.trixietreat</vt:lpstr>
    </vt:vector>
  </TitlesOfParts>
  <Manager/>
  <Company>Vanguard666</Company>
  <LinksUpToDate>false</LinksUpToDate>
  <SharedDoc>false</SharedDoc>
  <HyperlinkBase>http://vanguard666.com/Home/HowToJoin</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Castle Clash Hero &amp; Crest Manager</dc:title>
  <dc:subject/>
  <dc:creator>Fretwo</dc:creator>
  <cp:keywords/>
  <dc:description/>
  <cp:lastModifiedBy>M7510-MOD2</cp:lastModifiedBy>
  <cp:revision/>
  <dcterms:created xsi:type="dcterms:W3CDTF">2016-09-11T16:29:21Z</dcterms:created>
  <dcterms:modified xsi:type="dcterms:W3CDTF">2017-05-27T17:07:26Z</dcterms:modified>
  <cp:category/>
  <cp:contentStatus/>
</cp:coreProperties>
</file>